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S:\accounting\Acshare\STAT\Investments\2020\"/>
    </mc:Choice>
  </mc:AlternateContent>
  <xr:revisionPtr revIDLastSave="0" documentId="8_{1C7E6264-D1B9-48A9-8EF9-1F3CD13918BE}" xr6:coauthVersionLast="46" xr6:coauthVersionMax="46" xr10:uidLastSave="{00000000-0000-0000-0000-000000000000}"/>
  <bookViews>
    <workbookView xWindow="-108" yWindow="-108" windowWidth="23256" windowHeight="12576" tabRatio="879" xr2:uid="{00000000-000D-0000-FFFF-FFFF00000000}"/>
  </bookViews>
  <sheets>
    <sheet name="GMIC_2020-Annu_SCDPT1" sheetId="1" r:id="rId1"/>
    <sheet name="GMIC_2020-Annu_SCDPT2SN2" sheetId="4" r:id="rId2"/>
    <sheet name="GMIC_2020-Annu_SCDPT3" sheetId="6" r:id="rId3"/>
    <sheet name="GMIC_2020-Annu_SCDPT4" sheetId="7" r:id="rId4"/>
    <sheet name="GMIC_2020-Annu_SCDPT5" sheetId="8" r:id="rId5"/>
    <sheet name="GMIC_2020-Annu_SCDPT6SN1" sheetId="9" r:id="rId6"/>
  </sheets>
  <definedNames>
    <definedName name="SCDPT1_0100000_Range" localSheetId="0">'GMIC_2020-Annu_SCDPT1'!$B$7:$AM$31</definedName>
    <definedName name="SCDPT1_0100001_1" localSheetId="0">'GMIC_2020-Annu_SCDPT1'!$C$8</definedName>
    <definedName name="SCDPT1_0100001_10" localSheetId="0">'GMIC_2020-Annu_SCDPT1'!$N$8</definedName>
    <definedName name="SCDPT1_0100001_11" localSheetId="0">'GMIC_2020-Annu_SCDPT1'!$O$8</definedName>
    <definedName name="SCDPT1_0100001_12" localSheetId="0">'GMIC_2020-Annu_SCDPT1'!$P$8</definedName>
    <definedName name="SCDPT1_0100001_13" localSheetId="0">'GMIC_2020-Annu_SCDPT1'!$Q$8</definedName>
    <definedName name="SCDPT1_0100001_14" localSheetId="0">'GMIC_2020-Annu_SCDPT1'!$R$8</definedName>
    <definedName name="SCDPT1_0100001_15" localSheetId="0">'GMIC_2020-Annu_SCDPT1'!$S$8</definedName>
    <definedName name="SCDPT1_0100001_16" localSheetId="0">'GMIC_2020-Annu_SCDPT1'!$T$8</definedName>
    <definedName name="SCDPT1_0100001_17" localSheetId="0">'GMIC_2020-Annu_SCDPT1'!$U$8</definedName>
    <definedName name="SCDPT1_0100001_18" localSheetId="0">'GMIC_2020-Annu_SCDPT1'!$V$8</definedName>
    <definedName name="SCDPT1_0100001_19" localSheetId="0">'GMIC_2020-Annu_SCDPT1'!$W$8</definedName>
    <definedName name="SCDPT1_0100001_2" localSheetId="0">'GMIC_2020-Annu_SCDPT1'!$D$8</definedName>
    <definedName name="SCDPT1_0100001_20" localSheetId="0">'GMIC_2020-Annu_SCDPT1'!$X$8</definedName>
    <definedName name="SCDPT1_0100001_21" localSheetId="0">'GMIC_2020-Annu_SCDPT1'!$Y$8</definedName>
    <definedName name="SCDPT1_0100001_22" localSheetId="0">'GMIC_2020-Annu_SCDPT1'!$Z$8</definedName>
    <definedName name="SCDPT1_0100001_24" localSheetId="0">'GMIC_2020-Annu_SCDPT1'!$AB$8</definedName>
    <definedName name="SCDPT1_0100001_25" localSheetId="0">'GMIC_2020-Annu_SCDPT1'!$AC$8</definedName>
    <definedName name="SCDPT1_0100001_27" localSheetId="0">'GMIC_2020-Annu_SCDPT1'!$AE$8</definedName>
    <definedName name="SCDPT1_0100001_28" localSheetId="0">'GMIC_2020-Annu_SCDPT1'!$AF$8</definedName>
    <definedName name="SCDPT1_0100001_29" localSheetId="0">'GMIC_2020-Annu_SCDPT1'!$AG$8</definedName>
    <definedName name="SCDPT1_0100001_3" localSheetId="0">'GMIC_2020-Annu_SCDPT1'!$E$8</definedName>
    <definedName name="SCDPT1_0100001_30" localSheetId="0">'GMIC_2020-Annu_SCDPT1'!$AH$8</definedName>
    <definedName name="SCDPT1_0100001_31" localSheetId="0">'GMIC_2020-Annu_SCDPT1'!$AI$8</definedName>
    <definedName name="SCDPT1_0100001_32" localSheetId="0">'GMIC_2020-Annu_SCDPT1'!$AJ$8</definedName>
    <definedName name="SCDPT1_0100001_33" localSheetId="0">'GMIC_2020-Annu_SCDPT1'!$AK$8</definedName>
    <definedName name="SCDPT1_0100001_34" localSheetId="0">'GMIC_2020-Annu_SCDPT1'!$AL$8</definedName>
    <definedName name="SCDPT1_0100001_35" localSheetId="0">'GMIC_2020-Annu_SCDPT1'!$AM$8</definedName>
    <definedName name="SCDPT1_0100001_4" localSheetId="0">'GMIC_2020-Annu_SCDPT1'!$F$8</definedName>
    <definedName name="SCDPT1_0100001_5" localSheetId="0">'GMIC_2020-Annu_SCDPT1'!$G$8</definedName>
    <definedName name="SCDPT1_0100001_6.01" localSheetId="0">'GMIC_2020-Annu_SCDPT1'!$H$8</definedName>
    <definedName name="SCDPT1_0100001_6.02" localSheetId="0">'GMIC_2020-Annu_SCDPT1'!$I$8</definedName>
    <definedName name="SCDPT1_0100001_6.03" localSheetId="0">'GMIC_2020-Annu_SCDPT1'!$J$8</definedName>
    <definedName name="SCDPT1_0100001_7" localSheetId="0">'GMIC_2020-Annu_SCDPT1'!$K$8</definedName>
    <definedName name="SCDPT1_0100001_8" localSheetId="0">'GMIC_2020-Annu_SCDPT1'!$L$8</definedName>
    <definedName name="SCDPT1_0100001_9" localSheetId="0">'GMIC_2020-Annu_SCDPT1'!$M$8</definedName>
    <definedName name="SCDPT1_0199999_10" localSheetId="0">'GMIC_2020-Annu_SCDPT1'!$N$32</definedName>
    <definedName name="SCDPT1_0199999_11" localSheetId="0">'GMIC_2020-Annu_SCDPT1'!$O$32</definedName>
    <definedName name="SCDPT1_0199999_12" localSheetId="0">'GMIC_2020-Annu_SCDPT1'!$P$32</definedName>
    <definedName name="SCDPT1_0199999_13" localSheetId="0">'GMIC_2020-Annu_SCDPT1'!$Q$32</definedName>
    <definedName name="SCDPT1_0199999_14" localSheetId="0">'GMIC_2020-Annu_SCDPT1'!$R$32</definedName>
    <definedName name="SCDPT1_0199999_15" localSheetId="0">'GMIC_2020-Annu_SCDPT1'!$S$32</definedName>
    <definedName name="SCDPT1_0199999_19" localSheetId="0">'GMIC_2020-Annu_SCDPT1'!$W$32</definedName>
    <definedName name="SCDPT1_0199999_20" localSheetId="0">'GMIC_2020-Annu_SCDPT1'!$X$32</definedName>
    <definedName name="SCDPT1_0199999_7" localSheetId="0">'GMIC_2020-Annu_SCDPT1'!$K$32</definedName>
    <definedName name="SCDPT1_0199999_9" localSheetId="0">'GMIC_2020-Annu_SCDPT1'!$M$32</definedName>
    <definedName name="SCDPT1_01BEGIN_1" localSheetId="0">'GMIC_2020-Annu_SCDPT1'!$C$7</definedName>
    <definedName name="SCDPT1_01BEGIN_10" localSheetId="0">'GMIC_2020-Annu_SCDPT1'!$N$7</definedName>
    <definedName name="SCDPT1_01BEGIN_11" localSheetId="0">'GMIC_2020-Annu_SCDPT1'!$O$7</definedName>
    <definedName name="SCDPT1_01BEGIN_12" localSheetId="0">'GMIC_2020-Annu_SCDPT1'!$P$7</definedName>
    <definedName name="SCDPT1_01BEGIN_13" localSheetId="0">'GMIC_2020-Annu_SCDPT1'!$Q$7</definedName>
    <definedName name="SCDPT1_01BEGIN_14" localSheetId="0">'GMIC_2020-Annu_SCDPT1'!$R$7</definedName>
    <definedName name="SCDPT1_01BEGIN_15" localSheetId="0">'GMIC_2020-Annu_SCDPT1'!$S$7</definedName>
    <definedName name="SCDPT1_01BEGIN_16" localSheetId="0">'GMIC_2020-Annu_SCDPT1'!$T$7</definedName>
    <definedName name="SCDPT1_01BEGIN_17" localSheetId="0">'GMIC_2020-Annu_SCDPT1'!$U$7</definedName>
    <definedName name="SCDPT1_01BEGIN_18" localSheetId="0">'GMIC_2020-Annu_SCDPT1'!$V$7</definedName>
    <definedName name="SCDPT1_01BEGIN_19" localSheetId="0">'GMIC_2020-Annu_SCDPT1'!$W$7</definedName>
    <definedName name="SCDPT1_01BEGIN_2" localSheetId="0">'GMIC_2020-Annu_SCDPT1'!$D$7</definedName>
    <definedName name="SCDPT1_01BEGIN_20" localSheetId="0">'GMIC_2020-Annu_SCDPT1'!$X$7</definedName>
    <definedName name="SCDPT1_01BEGIN_21" localSheetId="0">'GMIC_2020-Annu_SCDPT1'!$Y$7</definedName>
    <definedName name="SCDPT1_01BEGIN_22" localSheetId="0">'GMIC_2020-Annu_SCDPT1'!$Z$7</definedName>
    <definedName name="SCDPT1_01BEGIN_23" localSheetId="0">'GMIC_2020-Annu_SCDPT1'!$AA$7</definedName>
    <definedName name="SCDPT1_01BEGIN_24" localSheetId="0">'GMIC_2020-Annu_SCDPT1'!$AB$7</definedName>
    <definedName name="SCDPT1_01BEGIN_25" localSheetId="0">'GMIC_2020-Annu_SCDPT1'!$AC$7</definedName>
    <definedName name="SCDPT1_01BEGIN_26" localSheetId="0">'GMIC_2020-Annu_SCDPT1'!$AD$7</definedName>
    <definedName name="SCDPT1_01BEGIN_27" localSheetId="0">'GMIC_2020-Annu_SCDPT1'!$AE$7</definedName>
    <definedName name="SCDPT1_01BEGIN_28" localSheetId="0">'GMIC_2020-Annu_SCDPT1'!$AF$7</definedName>
    <definedName name="SCDPT1_01BEGIN_29" localSheetId="0">'GMIC_2020-Annu_SCDPT1'!$AG$7</definedName>
    <definedName name="SCDPT1_01BEGIN_3" localSheetId="0">'GMIC_2020-Annu_SCDPT1'!$E$7</definedName>
    <definedName name="SCDPT1_01BEGIN_30" localSheetId="0">'GMIC_2020-Annu_SCDPT1'!$AH$7</definedName>
    <definedName name="SCDPT1_01BEGIN_31" localSheetId="0">'GMIC_2020-Annu_SCDPT1'!$AI$7</definedName>
    <definedName name="SCDPT1_01BEGIN_32" localSheetId="0">'GMIC_2020-Annu_SCDPT1'!$AJ$7</definedName>
    <definedName name="SCDPT1_01BEGIN_33" localSheetId="0">'GMIC_2020-Annu_SCDPT1'!$AK$7</definedName>
    <definedName name="SCDPT1_01BEGIN_34" localSheetId="0">'GMIC_2020-Annu_SCDPT1'!$AL$7</definedName>
    <definedName name="SCDPT1_01BEGIN_35" localSheetId="0">'GMIC_2020-Annu_SCDPT1'!$AM$7</definedName>
    <definedName name="SCDPT1_01BEGIN_4" localSheetId="0">'GMIC_2020-Annu_SCDPT1'!$F$7</definedName>
    <definedName name="SCDPT1_01BEGIN_5" localSheetId="0">'GMIC_2020-Annu_SCDPT1'!$G$7</definedName>
    <definedName name="SCDPT1_01BEGIN_6.01" localSheetId="0">'GMIC_2020-Annu_SCDPT1'!$H$7</definedName>
    <definedName name="SCDPT1_01BEGIN_6.02" localSheetId="0">'GMIC_2020-Annu_SCDPT1'!$I$7</definedName>
    <definedName name="SCDPT1_01BEGIN_6.03" localSheetId="0">'GMIC_2020-Annu_SCDPT1'!$J$7</definedName>
    <definedName name="SCDPT1_01BEGIN_7" localSheetId="0">'GMIC_2020-Annu_SCDPT1'!$K$7</definedName>
    <definedName name="SCDPT1_01BEGIN_8" localSheetId="0">'GMIC_2020-Annu_SCDPT1'!$L$7</definedName>
    <definedName name="SCDPT1_01BEGIN_9" localSheetId="0">'GMIC_2020-Annu_SCDPT1'!$M$7</definedName>
    <definedName name="SCDPT1_01ENDIN_10" localSheetId="0">'GMIC_2020-Annu_SCDPT1'!$N$31</definedName>
    <definedName name="SCDPT1_01ENDIN_11" localSheetId="0">'GMIC_2020-Annu_SCDPT1'!$O$31</definedName>
    <definedName name="SCDPT1_01ENDIN_12" localSheetId="0">'GMIC_2020-Annu_SCDPT1'!$P$31</definedName>
    <definedName name="SCDPT1_01ENDIN_13" localSheetId="0">'GMIC_2020-Annu_SCDPT1'!$Q$31</definedName>
    <definedName name="SCDPT1_01ENDIN_14" localSheetId="0">'GMIC_2020-Annu_SCDPT1'!$R$31</definedName>
    <definedName name="SCDPT1_01ENDIN_15" localSheetId="0">'GMIC_2020-Annu_SCDPT1'!$S$31</definedName>
    <definedName name="SCDPT1_01ENDIN_16" localSheetId="0">'GMIC_2020-Annu_SCDPT1'!$T$31</definedName>
    <definedName name="SCDPT1_01ENDIN_17" localSheetId="0">'GMIC_2020-Annu_SCDPT1'!$U$31</definedName>
    <definedName name="SCDPT1_01ENDIN_18" localSheetId="0">'GMIC_2020-Annu_SCDPT1'!$V$31</definedName>
    <definedName name="SCDPT1_01ENDIN_19" localSheetId="0">'GMIC_2020-Annu_SCDPT1'!$W$31</definedName>
    <definedName name="SCDPT1_01ENDIN_2" localSheetId="0">'GMIC_2020-Annu_SCDPT1'!$D$31</definedName>
    <definedName name="SCDPT1_01ENDIN_20" localSheetId="0">'GMIC_2020-Annu_SCDPT1'!$X$31</definedName>
    <definedName name="SCDPT1_01ENDIN_21" localSheetId="0">'GMIC_2020-Annu_SCDPT1'!$Y$31</definedName>
    <definedName name="SCDPT1_01ENDIN_22" localSheetId="0">'GMIC_2020-Annu_SCDPT1'!$Z$31</definedName>
    <definedName name="SCDPT1_01ENDIN_23" localSheetId="0">'GMIC_2020-Annu_SCDPT1'!$AA$31</definedName>
    <definedName name="SCDPT1_01ENDIN_24" localSheetId="0">'GMIC_2020-Annu_SCDPT1'!$AB$31</definedName>
    <definedName name="SCDPT1_01ENDIN_25" localSheetId="0">'GMIC_2020-Annu_SCDPT1'!$AC$31</definedName>
    <definedName name="SCDPT1_01ENDIN_26" localSheetId="0">'GMIC_2020-Annu_SCDPT1'!$AD$31</definedName>
    <definedName name="SCDPT1_01ENDIN_27" localSheetId="0">'GMIC_2020-Annu_SCDPT1'!$AE$31</definedName>
    <definedName name="SCDPT1_01ENDIN_28" localSheetId="0">'GMIC_2020-Annu_SCDPT1'!$AF$31</definedName>
    <definedName name="SCDPT1_01ENDIN_29" localSheetId="0">'GMIC_2020-Annu_SCDPT1'!$AG$31</definedName>
    <definedName name="SCDPT1_01ENDIN_3" localSheetId="0">'GMIC_2020-Annu_SCDPT1'!$E$31</definedName>
    <definedName name="SCDPT1_01ENDIN_30" localSheetId="0">'GMIC_2020-Annu_SCDPT1'!$AH$31</definedName>
    <definedName name="SCDPT1_01ENDIN_31" localSheetId="0">'GMIC_2020-Annu_SCDPT1'!$AI$31</definedName>
    <definedName name="SCDPT1_01ENDIN_32" localSheetId="0">'GMIC_2020-Annu_SCDPT1'!$AJ$31</definedName>
    <definedName name="SCDPT1_01ENDIN_33" localSheetId="0">'GMIC_2020-Annu_SCDPT1'!$AK$31</definedName>
    <definedName name="SCDPT1_01ENDIN_34" localSheetId="0">'GMIC_2020-Annu_SCDPT1'!$AL$31</definedName>
    <definedName name="SCDPT1_01ENDIN_35" localSheetId="0">'GMIC_2020-Annu_SCDPT1'!$AM$31</definedName>
    <definedName name="SCDPT1_01ENDIN_4" localSheetId="0">'GMIC_2020-Annu_SCDPT1'!$F$31</definedName>
    <definedName name="SCDPT1_01ENDIN_5" localSheetId="0">'GMIC_2020-Annu_SCDPT1'!$G$31</definedName>
    <definedName name="SCDPT1_01ENDIN_6.01" localSheetId="0">'GMIC_2020-Annu_SCDPT1'!$H$31</definedName>
    <definedName name="SCDPT1_01ENDIN_6.02" localSheetId="0">'GMIC_2020-Annu_SCDPT1'!$I$31</definedName>
    <definedName name="SCDPT1_01ENDIN_6.03" localSheetId="0">'GMIC_2020-Annu_SCDPT1'!$J$31</definedName>
    <definedName name="SCDPT1_01ENDIN_7" localSheetId="0">'GMIC_2020-Annu_SCDPT1'!$K$31</definedName>
    <definedName name="SCDPT1_01ENDIN_8" localSheetId="0">'GMIC_2020-Annu_SCDPT1'!$L$31</definedName>
    <definedName name="SCDPT1_01ENDIN_9" localSheetId="0">'GMIC_2020-Annu_SCDPT1'!$M$31</definedName>
    <definedName name="SCDPT1_0200000_Range" localSheetId="0">'GMIC_2020-Annu_SCDPT1'!$B$33:$AM$35</definedName>
    <definedName name="SCDPT1_0299999_10" localSheetId="0">'GMIC_2020-Annu_SCDPT1'!$N$36</definedName>
    <definedName name="SCDPT1_0299999_11" localSheetId="0">'GMIC_2020-Annu_SCDPT1'!$O$36</definedName>
    <definedName name="SCDPT1_0299999_12" localSheetId="0">'GMIC_2020-Annu_SCDPT1'!$P$36</definedName>
    <definedName name="SCDPT1_0299999_13" localSheetId="0">'GMIC_2020-Annu_SCDPT1'!$Q$36</definedName>
    <definedName name="SCDPT1_0299999_14" localSheetId="0">'GMIC_2020-Annu_SCDPT1'!$R$36</definedName>
    <definedName name="SCDPT1_0299999_15" localSheetId="0">'GMIC_2020-Annu_SCDPT1'!$S$36</definedName>
    <definedName name="SCDPT1_0299999_19" localSheetId="0">'GMIC_2020-Annu_SCDPT1'!$W$36</definedName>
    <definedName name="SCDPT1_0299999_20" localSheetId="0">'GMIC_2020-Annu_SCDPT1'!$X$36</definedName>
    <definedName name="SCDPT1_0299999_7" localSheetId="0">'GMIC_2020-Annu_SCDPT1'!$K$36</definedName>
    <definedName name="SCDPT1_0299999_9" localSheetId="0">'GMIC_2020-Annu_SCDPT1'!$M$36</definedName>
    <definedName name="SCDPT1_02BEGIN_1" localSheetId="0">'GMIC_2020-Annu_SCDPT1'!$C$33</definedName>
    <definedName name="SCDPT1_02BEGIN_10" localSheetId="0">'GMIC_2020-Annu_SCDPT1'!$N$33</definedName>
    <definedName name="SCDPT1_02BEGIN_11" localSheetId="0">'GMIC_2020-Annu_SCDPT1'!$O$33</definedName>
    <definedName name="SCDPT1_02BEGIN_12" localSheetId="0">'GMIC_2020-Annu_SCDPT1'!$P$33</definedName>
    <definedName name="SCDPT1_02BEGIN_13" localSheetId="0">'GMIC_2020-Annu_SCDPT1'!$Q$33</definedName>
    <definedName name="SCDPT1_02BEGIN_14" localSheetId="0">'GMIC_2020-Annu_SCDPT1'!$R$33</definedName>
    <definedName name="SCDPT1_02BEGIN_15" localSheetId="0">'GMIC_2020-Annu_SCDPT1'!$S$33</definedName>
    <definedName name="SCDPT1_02BEGIN_16" localSheetId="0">'GMIC_2020-Annu_SCDPT1'!$T$33</definedName>
    <definedName name="SCDPT1_02BEGIN_17" localSheetId="0">'GMIC_2020-Annu_SCDPT1'!$U$33</definedName>
    <definedName name="SCDPT1_02BEGIN_18" localSheetId="0">'GMIC_2020-Annu_SCDPT1'!$V$33</definedName>
    <definedName name="SCDPT1_02BEGIN_19" localSheetId="0">'GMIC_2020-Annu_SCDPT1'!$W$33</definedName>
    <definedName name="SCDPT1_02BEGIN_2" localSheetId="0">'GMIC_2020-Annu_SCDPT1'!$D$33</definedName>
    <definedName name="SCDPT1_02BEGIN_20" localSheetId="0">'GMIC_2020-Annu_SCDPT1'!$X$33</definedName>
    <definedName name="SCDPT1_02BEGIN_21" localSheetId="0">'GMIC_2020-Annu_SCDPT1'!$Y$33</definedName>
    <definedName name="SCDPT1_02BEGIN_22" localSheetId="0">'GMIC_2020-Annu_SCDPT1'!$Z$33</definedName>
    <definedName name="SCDPT1_02BEGIN_23" localSheetId="0">'GMIC_2020-Annu_SCDPT1'!$AA$33</definedName>
    <definedName name="SCDPT1_02BEGIN_24" localSheetId="0">'GMIC_2020-Annu_SCDPT1'!$AB$33</definedName>
    <definedName name="SCDPT1_02BEGIN_25" localSheetId="0">'GMIC_2020-Annu_SCDPT1'!$AC$33</definedName>
    <definedName name="SCDPT1_02BEGIN_26" localSheetId="0">'GMIC_2020-Annu_SCDPT1'!$AD$33</definedName>
    <definedName name="SCDPT1_02BEGIN_27" localSheetId="0">'GMIC_2020-Annu_SCDPT1'!$AE$33</definedName>
    <definedName name="SCDPT1_02BEGIN_28" localSheetId="0">'GMIC_2020-Annu_SCDPT1'!$AF$33</definedName>
    <definedName name="SCDPT1_02BEGIN_29" localSheetId="0">'GMIC_2020-Annu_SCDPT1'!$AG$33</definedName>
    <definedName name="SCDPT1_02BEGIN_3" localSheetId="0">'GMIC_2020-Annu_SCDPT1'!$E$33</definedName>
    <definedName name="SCDPT1_02BEGIN_30" localSheetId="0">'GMIC_2020-Annu_SCDPT1'!$AH$33</definedName>
    <definedName name="SCDPT1_02BEGIN_31" localSheetId="0">'GMIC_2020-Annu_SCDPT1'!$AI$33</definedName>
    <definedName name="SCDPT1_02BEGIN_32" localSheetId="0">'GMIC_2020-Annu_SCDPT1'!$AJ$33</definedName>
    <definedName name="SCDPT1_02BEGIN_33" localSheetId="0">'GMIC_2020-Annu_SCDPT1'!$AK$33</definedName>
    <definedName name="SCDPT1_02BEGIN_34" localSheetId="0">'GMIC_2020-Annu_SCDPT1'!$AL$33</definedName>
    <definedName name="SCDPT1_02BEGIN_35" localSheetId="0">'GMIC_2020-Annu_SCDPT1'!$AM$33</definedName>
    <definedName name="SCDPT1_02BEGIN_4" localSheetId="0">'GMIC_2020-Annu_SCDPT1'!$F$33</definedName>
    <definedName name="SCDPT1_02BEGIN_5" localSheetId="0">'GMIC_2020-Annu_SCDPT1'!$G$33</definedName>
    <definedName name="SCDPT1_02BEGIN_6.01" localSheetId="0">'GMIC_2020-Annu_SCDPT1'!$H$33</definedName>
    <definedName name="SCDPT1_02BEGIN_6.02" localSheetId="0">'GMIC_2020-Annu_SCDPT1'!$I$33</definedName>
    <definedName name="SCDPT1_02BEGIN_6.03" localSheetId="0">'GMIC_2020-Annu_SCDPT1'!$J$33</definedName>
    <definedName name="SCDPT1_02BEGIN_7" localSheetId="0">'GMIC_2020-Annu_SCDPT1'!$K$33</definedName>
    <definedName name="SCDPT1_02BEGIN_8" localSheetId="0">'GMIC_2020-Annu_SCDPT1'!$L$33</definedName>
    <definedName name="SCDPT1_02BEGIN_9" localSheetId="0">'GMIC_2020-Annu_SCDPT1'!$M$33</definedName>
    <definedName name="SCDPT1_02ENDIN_10" localSheetId="0">'GMIC_2020-Annu_SCDPT1'!$N$35</definedName>
    <definedName name="SCDPT1_02ENDIN_11" localSheetId="0">'GMIC_2020-Annu_SCDPT1'!$O$35</definedName>
    <definedName name="SCDPT1_02ENDIN_12" localSheetId="0">'GMIC_2020-Annu_SCDPT1'!$P$35</definedName>
    <definedName name="SCDPT1_02ENDIN_13" localSheetId="0">'GMIC_2020-Annu_SCDPT1'!$Q$35</definedName>
    <definedName name="SCDPT1_02ENDIN_14" localSheetId="0">'GMIC_2020-Annu_SCDPT1'!$R$35</definedName>
    <definedName name="SCDPT1_02ENDIN_15" localSheetId="0">'GMIC_2020-Annu_SCDPT1'!$S$35</definedName>
    <definedName name="SCDPT1_02ENDIN_16" localSheetId="0">'GMIC_2020-Annu_SCDPT1'!$T$35</definedName>
    <definedName name="SCDPT1_02ENDIN_17" localSheetId="0">'GMIC_2020-Annu_SCDPT1'!$U$35</definedName>
    <definedName name="SCDPT1_02ENDIN_18" localSheetId="0">'GMIC_2020-Annu_SCDPT1'!$V$35</definedName>
    <definedName name="SCDPT1_02ENDIN_19" localSheetId="0">'GMIC_2020-Annu_SCDPT1'!$W$35</definedName>
    <definedName name="SCDPT1_02ENDIN_2" localSheetId="0">'GMIC_2020-Annu_SCDPT1'!$D$35</definedName>
    <definedName name="SCDPT1_02ENDIN_20" localSheetId="0">'GMIC_2020-Annu_SCDPT1'!$X$35</definedName>
    <definedName name="SCDPT1_02ENDIN_21" localSheetId="0">'GMIC_2020-Annu_SCDPT1'!$Y$35</definedName>
    <definedName name="SCDPT1_02ENDIN_22" localSheetId="0">'GMIC_2020-Annu_SCDPT1'!$Z$35</definedName>
    <definedName name="SCDPT1_02ENDIN_23" localSheetId="0">'GMIC_2020-Annu_SCDPT1'!$AA$35</definedName>
    <definedName name="SCDPT1_02ENDIN_24" localSheetId="0">'GMIC_2020-Annu_SCDPT1'!$AB$35</definedName>
    <definedName name="SCDPT1_02ENDIN_25" localSheetId="0">'GMIC_2020-Annu_SCDPT1'!$AC$35</definedName>
    <definedName name="SCDPT1_02ENDIN_26" localSheetId="0">'GMIC_2020-Annu_SCDPT1'!$AD$35</definedName>
    <definedName name="SCDPT1_02ENDIN_27" localSheetId="0">'GMIC_2020-Annu_SCDPT1'!$AE$35</definedName>
    <definedName name="SCDPT1_02ENDIN_28" localSheetId="0">'GMIC_2020-Annu_SCDPT1'!$AF$35</definedName>
    <definedName name="SCDPT1_02ENDIN_29" localSheetId="0">'GMIC_2020-Annu_SCDPT1'!$AG$35</definedName>
    <definedName name="SCDPT1_02ENDIN_3" localSheetId="0">'GMIC_2020-Annu_SCDPT1'!$E$35</definedName>
    <definedName name="SCDPT1_02ENDIN_30" localSheetId="0">'GMIC_2020-Annu_SCDPT1'!$AH$35</definedName>
    <definedName name="SCDPT1_02ENDIN_31" localSheetId="0">'GMIC_2020-Annu_SCDPT1'!$AI$35</definedName>
    <definedName name="SCDPT1_02ENDIN_32" localSheetId="0">'GMIC_2020-Annu_SCDPT1'!$AJ$35</definedName>
    <definedName name="SCDPT1_02ENDIN_33" localSheetId="0">'GMIC_2020-Annu_SCDPT1'!$AK$35</definedName>
    <definedName name="SCDPT1_02ENDIN_34" localSheetId="0">'GMIC_2020-Annu_SCDPT1'!$AL$35</definedName>
    <definedName name="SCDPT1_02ENDIN_35" localSheetId="0">'GMIC_2020-Annu_SCDPT1'!$AM$35</definedName>
    <definedName name="SCDPT1_02ENDIN_4" localSheetId="0">'GMIC_2020-Annu_SCDPT1'!$F$35</definedName>
    <definedName name="SCDPT1_02ENDIN_5" localSheetId="0">'GMIC_2020-Annu_SCDPT1'!$G$35</definedName>
    <definedName name="SCDPT1_02ENDIN_6.01" localSheetId="0">'GMIC_2020-Annu_SCDPT1'!$H$35</definedName>
    <definedName name="SCDPT1_02ENDIN_6.02" localSheetId="0">'GMIC_2020-Annu_SCDPT1'!$I$35</definedName>
    <definedName name="SCDPT1_02ENDIN_6.03" localSheetId="0">'GMIC_2020-Annu_SCDPT1'!$J$35</definedName>
    <definedName name="SCDPT1_02ENDIN_7" localSheetId="0">'GMIC_2020-Annu_SCDPT1'!$K$35</definedName>
    <definedName name="SCDPT1_02ENDIN_8" localSheetId="0">'GMIC_2020-Annu_SCDPT1'!$L$35</definedName>
    <definedName name="SCDPT1_02ENDIN_9" localSheetId="0">'GMIC_2020-Annu_SCDPT1'!$M$35</definedName>
    <definedName name="SCDPT1_0300000_Range" localSheetId="0">'GMIC_2020-Annu_SCDPT1'!$B$37:$AM$39</definedName>
    <definedName name="SCDPT1_0399999_10" localSheetId="0">'GMIC_2020-Annu_SCDPT1'!$N$40</definedName>
    <definedName name="SCDPT1_0399999_11" localSheetId="0">'GMIC_2020-Annu_SCDPT1'!$O$40</definedName>
    <definedName name="SCDPT1_0399999_12" localSheetId="0">'GMIC_2020-Annu_SCDPT1'!$P$40</definedName>
    <definedName name="SCDPT1_0399999_13" localSheetId="0">'GMIC_2020-Annu_SCDPT1'!$Q$40</definedName>
    <definedName name="SCDPT1_0399999_14" localSheetId="0">'GMIC_2020-Annu_SCDPT1'!$R$40</definedName>
    <definedName name="SCDPT1_0399999_15" localSheetId="0">'GMIC_2020-Annu_SCDPT1'!$S$40</definedName>
    <definedName name="SCDPT1_0399999_19" localSheetId="0">'GMIC_2020-Annu_SCDPT1'!$W$40</definedName>
    <definedName name="SCDPT1_0399999_20" localSheetId="0">'GMIC_2020-Annu_SCDPT1'!$X$40</definedName>
    <definedName name="SCDPT1_0399999_7" localSheetId="0">'GMIC_2020-Annu_SCDPT1'!$K$40</definedName>
    <definedName name="SCDPT1_0399999_9" localSheetId="0">'GMIC_2020-Annu_SCDPT1'!$M$40</definedName>
    <definedName name="SCDPT1_03BEGIN_1" localSheetId="0">'GMIC_2020-Annu_SCDPT1'!$C$37</definedName>
    <definedName name="SCDPT1_03BEGIN_10" localSheetId="0">'GMIC_2020-Annu_SCDPT1'!$N$37</definedName>
    <definedName name="SCDPT1_03BEGIN_11" localSheetId="0">'GMIC_2020-Annu_SCDPT1'!$O$37</definedName>
    <definedName name="SCDPT1_03BEGIN_12" localSheetId="0">'GMIC_2020-Annu_SCDPT1'!$P$37</definedName>
    <definedName name="SCDPT1_03BEGIN_13" localSheetId="0">'GMIC_2020-Annu_SCDPT1'!$Q$37</definedName>
    <definedName name="SCDPT1_03BEGIN_14" localSheetId="0">'GMIC_2020-Annu_SCDPT1'!$R$37</definedName>
    <definedName name="SCDPT1_03BEGIN_15" localSheetId="0">'GMIC_2020-Annu_SCDPT1'!$S$37</definedName>
    <definedName name="SCDPT1_03BEGIN_16" localSheetId="0">'GMIC_2020-Annu_SCDPT1'!$T$37</definedName>
    <definedName name="SCDPT1_03BEGIN_17" localSheetId="0">'GMIC_2020-Annu_SCDPT1'!$U$37</definedName>
    <definedName name="SCDPT1_03BEGIN_18" localSheetId="0">'GMIC_2020-Annu_SCDPT1'!$V$37</definedName>
    <definedName name="SCDPT1_03BEGIN_19" localSheetId="0">'GMIC_2020-Annu_SCDPT1'!$W$37</definedName>
    <definedName name="SCDPT1_03BEGIN_2" localSheetId="0">'GMIC_2020-Annu_SCDPT1'!$D$37</definedName>
    <definedName name="SCDPT1_03BEGIN_20" localSheetId="0">'GMIC_2020-Annu_SCDPT1'!$X$37</definedName>
    <definedName name="SCDPT1_03BEGIN_21" localSheetId="0">'GMIC_2020-Annu_SCDPT1'!$Y$37</definedName>
    <definedName name="SCDPT1_03BEGIN_22" localSheetId="0">'GMIC_2020-Annu_SCDPT1'!$Z$37</definedName>
    <definedName name="SCDPT1_03BEGIN_23" localSheetId="0">'GMIC_2020-Annu_SCDPT1'!$AA$37</definedName>
    <definedName name="SCDPT1_03BEGIN_24" localSheetId="0">'GMIC_2020-Annu_SCDPT1'!$AB$37</definedName>
    <definedName name="SCDPT1_03BEGIN_25" localSheetId="0">'GMIC_2020-Annu_SCDPT1'!$AC$37</definedName>
    <definedName name="SCDPT1_03BEGIN_26" localSheetId="0">'GMIC_2020-Annu_SCDPT1'!$AD$37</definedName>
    <definedName name="SCDPT1_03BEGIN_27" localSheetId="0">'GMIC_2020-Annu_SCDPT1'!$AE$37</definedName>
    <definedName name="SCDPT1_03BEGIN_28" localSheetId="0">'GMIC_2020-Annu_SCDPT1'!$AF$37</definedName>
    <definedName name="SCDPT1_03BEGIN_29" localSheetId="0">'GMIC_2020-Annu_SCDPT1'!$AG$37</definedName>
    <definedName name="SCDPT1_03BEGIN_3" localSheetId="0">'GMIC_2020-Annu_SCDPT1'!$E$37</definedName>
    <definedName name="SCDPT1_03BEGIN_30" localSheetId="0">'GMIC_2020-Annu_SCDPT1'!$AH$37</definedName>
    <definedName name="SCDPT1_03BEGIN_31" localSheetId="0">'GMIC_2020-Annu_SCDPT1'!$AI$37</definedName>
    <definedName name="SCDPT1_03BEGIN_32" localSheetId="0">'GMIC_2020-Annu_SCDPT1'!$AJ$37</definedName>
    <definedName name="SCDPT1_03BEGIN_33" localSheetId="0">'GMIC_2020-Annu_SCDPT1'!$AK$37</definedName>
    <definedName name="SCDPT1_03BEGIN_34" localSheetId="0">'GMIC_2020-Annu_SCDPT1'!$AL$37</definedName>
    <definedName name="SCDPT1_03BEGIN_35" localSheetId="0">'GMIC_2020-Annu_SCDPT1'!$AM$37</definedName>
    <definedName name="SCDPT1_03BEGIN_4" localSheetId="0">'GMIC_2020-Annu_SCDPT1'!$F$37</definedName>
    <definedName name="SCDPT1_03BEGIN_5" localSheetId="0">'GMIC_2020-Annu_SCDPT1'!$G$37</definedName>
    <definedName name="SCDPT1_03BEGIN_6.01" localSheetId="0">'GMIC_2020-Annu_SCDPT1'!$H$37</definedName>
    <definedName name="SCDPT1_03BEGIN_6.02" localSheetId="0">'GMIC_2020-Annu_SCDPT1'!$I$37</definedName>
    <definedName name="SCDPT1_03BEGIN_6.03" localSheetId="0">'GMIC_2020-Annu_SCDPT1'!$J$37</definedName>
    <definedName name="SCDPT1_03BEGIN_7" localSheetId="0">'GMIC_2020-Annu_SCDPT1'!$K$37</definedName>
    <definedName name="SCDPT1_03BEGIN_8" localSheetId="0">'GMIC_2020-Annu_SCDPT1'!$L$37</definedName>
    <definedName name="SCDPT1_03BEGIN_9" localSheetId="0">'GMIC_2020-Annu_SCDPT1'!$M$37</definedName>
    <definedName name="SCDPT1_03ENDIN_10" localSheetId="0">'GMIC_2020-Annu_SCDPT1'!$N$39</definedName>
    <definedName name="SCDPT1_03ENDIN_11" localSheetId="0">'GMIC_2020-Annu_SCDPT1'!$O$39</definedName>
    <definedName name="SCDPT1_03ENDIN_12" localSheetId="0">'GMIC_2020-Annu_SCDPT1'!$P$39</definedName>
    <definedName name="SCDPT1_03ENDIN_13" localSheetId="0">'GMIC_2020-Annu_SCDPT1'!$Q$39</definedName>
    <definedName name="SCDPT1_03ENDIN_14" localSheetId="0">'GMIC_2020-Annu_SCDPT1'!$R$39</definedName>
    <definedName name="SCDPT1_03ENDIN_15" localSheetId="0">'GMIC_2020-Annu_SCDPT1'!$S$39</definedName>
    <definedName name="SCDPT1_03ENDIN_16" localSheetId="0">'GMIC_2020-Annu_SCDPT1'!$T$39</definedName>
    <definedName name="SCDPT1_03ENDIN_17" localSheetId="0">'GMIC_2020-Annu_SCDPT1'!$U$39</definedName>
    <definedName name="SCDPT1_03ENDIN_18" localSheetId="0">'GMIC_2020-Annu_SCDPT1'!$V$39</definedName>
    <definedName name="SCDPT1_03ENDIN_19" localSheetId="0">'GMIC_2020-Annu_SCDPT1'!$W$39</definedName>
    <definedName name="SCDPT1_03ENDIN_2" localSheetId="0">'GMIC_2020-Annu_SCDPT1'!$D$39</definedName>
    <definedName name="SCDPT1_03ENDIN_20" localSheetId="0">'GMIC_2020-Annu_SCDPT1'!$X$39</definedName>
    <definedName name="SCDPT1_03ENDIN_21" localSheetId="0">'GMIC_2020-Annu_SCDPT1'!$Y$39</definedName>
    <definedName name="SCDPT1_03ENDIN_22" localSheetId="0">'GMIC_2020-Annu_SCDPT1'!$Z$39</definedName>
    <definedName name="SCDPT1_03ENDIN_23" localSheetId="0">'GMIC_2020-Annu_SCDPT1'!$AA$39</definedName>
    <definedName name="SCDPT1_03ENDIN_24" localSheetId="0">'GMIC_2020-Annu_SCDPT1'!$AB$39</definedName>
    <definedName name="SCDPT1_03ENDIN_25" localSheetId="0">'GMIC_2020-Annu_SCDPT1'!$AC$39</definedName>
    <definedName name="SCDPT1_03ENDIN_26" localSheetId="0">'GMIC_2020-Annu_SCDPT1'!$AD$39</definedName>
    <definedName name="SCDPT1_03ENDIN_27" localSheetId="0">'GMIC_2020-Annu_SCDPT1'!$AE$39</definedName>
    <definedName name="SCDPT1_03ENDIN_28" localSheetId="0">'GMIC_2020-Annu_SCDPT1'!$AF$39</definedName>
    <definedName name="SCDPT1_03ENDIN_29" localSheetId="0">'GMIC_2020-Annu_SCDPT1'!$AG$39</definedName>
    <definedName name="SCDPT1_03ENDIN_3" localSheetId="0">'GMIC_2020-Annu_SCDPT1'!$E$39</definedName>
    <definedName name="SCDPT1_03ENDIN_30" localSheetId="0">'GMIC_2020-Annu_SCDPT1'!$AH$39</definedName>
    <definedName name="SCDPT1_03ENDIN_31" localSheetId="0">'GMIC_2020-Annu_SCDPT1'!$AI$39</definedName>
    <definedName name="SCDPT1_03ENDIN_32" localSheetId="0">'GMIC_2020-Annu_SCDPT1'!$AJ$39</definedName>
    <definedName name="SCDPT1_03ENDIN_33" localSheetId="0">'GMIC_2020-Annu_SCDPT1'!$AK$39</definedName>
    <definedName name="SCDPT1_03ENDIN_34" localSheetId="0">'GMIC_2020-Annu_SCDPT1'!$AL$39</definedName>
    <definedName name="SCDPT1_03ENDIN_35" localSheetId="0">'GMIC_2020-Annu_SCDPT1'!$AM$39</definedName>
    <definedName name="SCDPT1_03ENDIN_4" localSheetId="0">'GMIC_2020-Annu_SCDPT1'!$F$39</definedName>
    <definedName name="SCDPT1_03ENDIN_5" localSheetId="0">'GMIC_2020-Annu_SCDPT1'!$G$39</definedName>
    <definedName name="SCDPT1_03ENDIN_6.01" localSheetId="0">'GMIC_2020-Annu_SCDPT1'!$H$39</definedName>
    <definedName name="SCDPT1_03ENDIN_6.02" localSheetId="0">'GMIC_2020-Annu_SCDPT1'!$I$39</definedName>
    <definedName name="SCDPT1_03ENDIN_6.03" localSheetId="0">'GMIC_2020-Annu_SCDPT1'!$J$39</definedName>
    <definedName name="SCDPT1_03ENDIN_7" localSheetId="0">'GMIC_2020-Annu_SCDPT1'!$K$39</definedName>
    <definedName name="SCDPT1_03ENDIN_8" localSheetId="0">'GMIC_2020-Annu_SCDPT1'!$L$39</definedName>
    <definedName name="SCDPT1_03ENDIN_9" localSheetId="0">'GMIC_2020-Annu_SCDPT1'!$M$39</definedName>
    <definedName name="SCDPT1_0400000_Range" localSheetId="0">'GMIC_2020-Annu_SCDPT1'!$B$41:$AM$43</definedName>
    <definedName name="SCDPT1_0499999_10" localSheetId="0">'GMIC_2020-Annu_SCDPT1'!$N$44</definedName>
    <definedName name="SCDPT1_0499999_11" localSheetId="0">'GMIC_2020-Annu_SCDPT1'!$O$44</definedName>
    <definedName name="SCDPT1_0499999_12" localSheetId="0">'GMIC_2020-Annu_SCDPT1'!$P$44</definedName>
    <definedName name="SCDPT1_0499999_13" localSheetId="0">'GMIC_2020-Annu_SCDPT1'!$Q$44</definedName>
    <definedName name="SCDPT1_0499999_14" localSheetId="0">'GMIC_2020-Annu_SCDPT1'!$R$44</definedName>
    <definedName name="SCDPT1_0499999_15" localSheetId="0">'GMIC_2020-Annu_SCDPT1'!$S$44</definedName>
    <definedName name="SCDPT1_0499999_19" localSheetId="0">'GMIC_2020-Annu_SCDPT1'!$W$44</definedName>
    <definedName name="SCDPT1_0499999_20" localSheetId="0">'GMIC_2020-Annu_SCDPT1'!$X$44</definedName>
    <definedName name="SCDPT1_0499999_7" localSheetId="0">'GMIC_2020-Annu_SCDPT1'!$K$44</definedName>
    <definedName name="SCDPT1_0499999_9" localSheetId="0">'GMIC_2020-Annu_SCDPT1'!$M$44</definedName>
    <definedName name="SCDPT1_04BEGIN_1" localSheetId="0">'GMIC_2020-Annu_SCDPT1'!$C$41</definedName>
    <definedName name="SCDPT1_04BEGIN_10" localSheetId="0">'GMIC_2020-Annu_SCDPT1'!$N$41</definedName>
    <definedName name="SCDPT1_04BEGIN_11" localSheetId="0">'GMIC_2020-Annu_SCDPT1'!$O$41</definedName>
    <definedName name="SCDPT1_04BEGIN_12" localSheetId="0">'GMIC_2020-Annu_SCDPT1'!$P$41</definedName>
    <definedName name="SCDPT1_04BEGIN_13" localSheetId="0">'GMIC_2020-Annu_SCDPT1'!$Q$41</definedName>
    <definedName name="SCDPT1_04BEGIN_14" localSheetId="0">'GMIC_2020-Annu_SCDPT1'!$R$41</definedName>
    <definedName name="SCDPT1_04BEGIN_15" localSheetId="0">'GMIC_2020-Annu_SCDPT1'!$S$41</definedName>
    <definedName name="SCDPT1_04BEGIN_16" localSheetId="0">'GMIC_2020-Annu_SCDPT1'!$T$41</definedName>
    <definedName name="SCDPT1_04BEGIN_17" localSheetId="0">'GMIC_2020-Annu_SCDPT1'!$U$41</definedName>
    <definedName name="SCDPT1_04BEGIN_18" localSheetId="0">'GMIC_2020-Annu_SCDPT1'!$V$41</definedName>
    <definedName name="SCDPT1_04BEGIN_19" localSheetId="0">'GMIC_2020-Annu_SCDPT1'!$W$41</definedName>
    <definedName name="SCDPT1_04BEGIN_2" localSheetId="0">'GMIC_2020-Annu_SCDPT1'!$D$41</definedName>
    <definedName name="SCDPT1_04BEGIN_20" localSheetId="0">'GMIC_2020-Annu_SCDPT1'!$X$41</definedName>
    <definedName name="SCDPT1_04BEGIN_21" localSheetId="0">'GMIC_2020-Annu_SCDPT1'!$Y$41</definedName>
    <definedName name="SCDPT1_04BEGIN_22" localSheetId="0">'GMIC_2020-Annu_SCDPT1'!$Z$41</definedName>
    <definedName name="SCDPT1_04BEGIN_23" localSheetId="0">'GMIC_2020-Annu_SCDPT1'!$AA$41</definedName>
    <definedName name="SCDPT1_04BEGIN_24" localSheetId="0">'GMIC_2020-Annu_SCDPT1'!$AB$41</definedName>
    <definedName name="SCDPT1_04BEGIN_25" localSheetId="0">'GMIC_2020-Annu_SCDPT1'!$AC$41</definedName>
    <definedName name="SCDPT1_04BEGIN_26" localSheetId="0">'GMIC_2020-Annu_SCDPT1'!$AD$41</definedName>
    <definedName name="SCDPT1_04BEGIN_27" localSheetId="0">'GMIC_2020-Annu_SCDPT1'!$AE$41</definedName>
    <definedName name="SCDPT1_04BEGIN_28" localSheetId="0">'GMIC_2020-Annu_SCDPT1'!$AF$41</definedName>
    <definedName name="SCDPT1_04BEGIN_29" localSheetId="0">'GMIC_2020-Annu_SCDPT1'!$AG$41</definedName>
    <definedName name="SCDPT1_04BEGIN_3" localSheetId="0">'GMIC_2020-Annu_SCDPT1'!$E$41</definedName>
    <definedName name="SCDPT1_04BEGIN_30" localSheetId="0">'GMIC_2020-Annu_SCDPT1'!$AH$41</definedName>
    <definedName name="SCDPT1_04BEGIN_31" localSheetId="0">'GMIC_2020-Annu_SCDPT1'!$AI$41</definedName>
    <definedName name="SCDPT1_04BEGIN_32" localSheetId="0">'GMIC_2020-Annu_SCDPT1'!$AJ$41</definedName>
    <definedName name="SCDPT1_04BEGIN_33" localSheetId="0">'GMIC_2020-Annu_SCDPT1'!$AK$41</definedName>
    <definedName name="SCDPT1_04BEGIN_34" localSheetId="0">'GMIC_2020-Annu_SCDPT1'!$AL$41</definedName>
    <definedName name="SCDPT1_04BEGIN_35" localSheetId="0">'GMIC_2020-Annu_SCDPT1'!$AM$41</definedName>
    <definedName name="SCDPT1_04BEGIN_4" localSheetId="0">'GMIC_2020-Annu_SCDPT1'!$F$41</definedName>
    <definedName name="SCDPT1_04BEGIN_5" localSheetId="0">'GMIC_2020-Annu_SCDPT1'!$G$41</definedName>
    <definedName name="SCDPT1_04BEGIN_6.01" localSheetId="0">'GMIC_2020-Annu_SCDPT1'!$H$41</definedName>
    <definedName name="SCDPT1_04BEGIN_6.02" localSheetId="0">'GMIC_2020-Annu_SCDPT1'!$I$41</definedName>
    <definedName name="SCDPT1_04BEGIN_6.03" localSheetId="0">'GMIC_2020-Annu_SCDPT1'!$J$41</definedName>
    <definedName name="SCDPT1_04BEGIN_7" localSheetId="0">'GMIC_2020-Annu_SCDPT1'!$K$41</definedName>
    <definedName name="SCDPT1_04BEGIN_8" localSheetId="0">'GMIC_2020-Annu_SCDPT1'!$L$41</definedName>
    <definedName name="SCDPT1_04BEGIN_9" localSheetId="0">'GMIC_2020-Annu_SCDPT1'!$M$41</definedName>
    <definedName name="SCDPT1_04ENDIN_10" localSheetId="0">'GMIC_2020-Annu_SCDPT1'!$N$43</definedName>
    <definedName name="SCDPT1_04ENDIN_11" localSheetId="0">'GMIC_2020-Annu_SCDPT1'!$O$43</definedName>
    <definedName name="SCDPT1_04ENDIN_12" localSheetId="0">'GMIC_2020-Annu_SCDPT1'!$P$43</definedName>
    <definedName name="SCDPT1_04ENDIN_13" localSheetId="0">'GMIC_2020-Annu_SCDPT1'!$Q$43</definedName>
    <definedName name="SCDPT1_04ENDIN_14" localSheetId="0">'GMIC_2020-Annu_SCDPT1'!$R$43</definedName>
    <definedName name="SCDPT1_04ENDIN_15" localSheetId="0">'GMIC_2020-Annu_SCDPT1'!$S$43</definedName>
    <definedName name="SCDPT1_04ENDIN_16" localSheetId="0">'GMIC_2020-Annu_SCDPT1'!$T$43</definedName>
    <definedName name="SCDPT1_04ENDIN_17" localSheetId="0">'GMIC_2020-Annu_SCDPT1'!$U$43</definedName>
    <definedName name="SCDPT1_04ENDIN_18" localSheetId="0">'GMIC_2020-Annu_SCDPT1'!$V$43</definedName>
    <definedName name="SCDPT1_04ENDIN_19" localSheetId="0">'GMIC_2020-Annu_SCDPT1'!$W$43</definedName>
    <definedName name="SCDPT1_04ENDIN_2" localSheetId="0">'GMIC_2020-Annu_SCDPT1'!$D$43</definedName>
    <definedName name="SCDPT1_04ENDIN_20" localSheetId="0">'GMIC_2020-Annu_SCDPT1'!$X$43</definedName>
    <definedName name="SCDPT1_04ENDIN_21" localSheetId="0">'GMIC_2020-Annu_SCDPT1'!$Y$43</definedName>
    <definedName name="SCDPT1_04ENDIN_22" localSheetId="0">'GMIC_2020-Annu_SCDPT1'!$Z$43</definedName>
    <definedName name="SCDPT1_04ENDIN_23" localSheetId="0">'GMIC_2020-Annu_SCDPT1'!$AA$43</definedName>
    <definedName name="SCDPT1_04ENDIN_24" localSheetId="0">'GMIC_2020-Annu_SCDPT1'!$AB$43</definedName>
    <definedName name="SCDPT1_04ENDIN_25" localSheetId="0">'GMIC_2020-Annu_SCDPT1'!$AC$43</definedName>
    <definedName name="SCDPT1_04ENDIN_26" localSheetId="0">'GMIC_2020-Annu_SCDPT1'!$AD$43</definedName>
    <definedName name="SCDPT1_04ENDIN_27" localSheetId="0">'GMIC_2020-Annu_SCDPT1'!$AE$43</definedName>
    <definedName name="SCDPT1_04ENDIN_28" localSheetId="0">'GMIC_2020-Annu_SCDPT1'!$AF$43</definedName>
    <definedName name="SCDPT1_04ENDIN_29" localSheetId="0">'GMIC_2020-Annu_SCDPT1'!$AG$43</definedName>
    <definedName name="SCDPT1_04ENDIN_3" localSheetId="0">'GMIC_2020-Annu_SCDPT1'!$E$43</definedName>
    <definedName name="SCDPT1_04ENDIN_30" localSheetId="0">'GMIC_2020-Annu_SCDPT1'!$AH$43</definedName>
    <definedName name="SCDPT1_04ENDIN_31" localSheetId="0">'GMIC_2020-Annu_SCDPT1'!$AI$43</definedName>
    <definedName name="SCDPT1_04ENDIN_32" localSheetId="0">'GMIC_2020-Annu_SCDPT1'!$AJ$43</definedName>
    <definedName name="SCDPT1_04ENDIN_33" localSheetId="0">'GMIC_2020-Annu_SCDPT1'!$AK$43</definedName>
    <definedName name="SCDPT1_04ENDIN_34" localSheetId="0">'GMIC_2020-Annu_SCDPT1'!$AL$43</definedName>
    <definedName name="SCDPT1_04ENDIN_35" localSheetId="0">'GMIC_2020-Annu_SCDPT1'!$AM$43</definedName>
    <definedName name="SCDPT1_04ENDIN_4" localSheetId="0">'GMIC_2020-Annu_SCDPT1'!$F$43</definedName>
    <definedName name="SCDPT1_04ENDIN_5" localSheetId="0">'GMIC_2020-Annu_SCDPT1'!$G$43</definedName>
    <definedName name="SCDPT1_04ENDIN_6.01" localSheetId="0">'GMIC_2020-Annu_SCDPT1'!$H$43</definedName>
    <definedName name="SCDPT1_04ENDIN_6.02" localSheetId="0">'GMIC_2020-Annu_SCDPT1'!$I$43</definedName>
    <definedName name="SCDPT1_04ENDIN_6.03" localSheetId="0">'GMIC_2020-Annu_SCDPT1'!$J$43</definedName>
    <definedName name="SCDPT1_04ENDIN_7" localSheetId="0">'GMIC_2020-Annu_SCDPT1'!$K$43</definedName>
    <definedName name="SCDPT1_04ENDIN_8" localSheetId="0">'GMIC_2020-Annu_SCDPT1'!$L$43</definedName>
    <definedName name="SCDPT1_04ENDIN_9" localSheetId="0">'GMIC_2020-Annu_SCDPT1'!$M$43</definedName>
    <definedName name="SCDPT1_0599999_10" localSheetId="0">'GMIC_2020-Annu_SCDPT1'!$N$45</definedName>
    <definedName name="SCDPT1_0599999_11" localSheetId="0">'GMIC_2020-Annu_SCDPT1'!$O$45</definedName>
    <definedName name="SCDPT1_0599999_12" localSheetId="0">'GMIC_2020-Annu_SCDPT1'!$P$45</definedName>
    <definedName name="SCDPT1_0599999_13" localSheetId="0">'GMIC_2020-Annu_SCDPT1'!$Q$45</definedName>
    <definedName name="SCDPT1_0599999_14" localSheetId="0">'GMIC_2020-Annu_SCDPT1'!$R$45</definedName>
    <definedName name="SCDPT1_0599999_15" localSheetId="0">'GMIC_2020-Annu_SCDPT1'!$S$45</definedName>
    <definedName name="SCDPT1_0599999_19" localSheetId="0">'GMIC_2020-Annu_SCDPT1'!$W$45</definedName>
    <definedName name="SCDPT1_0599999_20" localSheetId="0">'GMIC_2020-Annu_SCDPT1'!$X$45</definedName>
    <definedName name="SCDPT1_0599999_7" localSheetId="0">'GMIC_2020-Annu_SCDPT1'!$K$45</definedName>
    <definedName name="SCDPT1_0599999_9" localSheetId="0">'GMIC_2020-Annu_SCDPT1'!$M$45</definedName>
    <definedName name="SCDPT1_0600000_Range" localSheetId="0">'GMIC_2020-Annu_SCDPT1'!$B$46:$AM$49</definedName>
    <definedName name="SCDPT1_0600001_1" localSheetId="0">'GMIC_2020-Annu_SCDPT1'!$C$47</definedName>
    <definedName name="SCDPT1_0600001_10" localSheetId="0">'GMIC_2020-Annu_SCDPT1'!$N$47</definedName>
    <definedName name="SCDPT1_0600001_11" localSheetId="0">'GMIC_2020-Annu_SCDPT1'!$O$47</definedName>
    <definedName name="SCDPT1_0600001_12" localSheetId="0">'GMIC_2020-Annu_SCDPT1'!$P$47</definedName>
    <definedName name="SCDPT1_0600001_13" localSheetId="0">'GMIC_2020-Annu_SCDPT1'!$Q$47</definedName>
    <definedName name="SCDPT1_0600001_14" localSheetId="0">'GMIC_2020-Annu_SCDPT1'!$R$47</definedName>
    <definedName name="SCDPT1_0600001_15" localSheetId="0">'GMIC_2020-Annu_SCDPT1'!$S$47</definedName>
    <definedName name="SCDPT1_0600001_16" localSheetId="0">'GMIC_2020-Annu_SCDPT1'!$T$47</definedName>
    <definedName name="SCDPT1_0600001_17" localSheetId="0">'GMIC_2020-Annu_SCDPT1'!$U$47</definedName>
    <definedName name="SCDPT1_0600001_18" localSheetId="0">'GMIC_2020-Annu_SCDPT1'!$V$47</definedName>
    <definedName name="SCDPT1_0600001_19" localSheetId="0">'GMIC_2020-Annu_SCDPT1'!$W$47</definedName>
    <definedName name="SCDPT1_0600001_2" localSheetId="0">'GMIC_2020-Annu_SCDPT1'!$D$47</definedName>
    <definedName name="SCDPT1_0600001_20" localSheetId="0">'GMIC_2020-Annu_SCDPT1'!$X$47</definedName>
    <definedName name="SCDPT1_0600001_21" localSheetId="0">'GMIC_2020-Annu_SCDPT1'!$Y$47</definedName>
    <definedName name="SCDPT1_0600001_22" localSheetId="0">'GMIC_2020-Annu_SCDPT1'!$Z$47</definedName>
    <definedName name="SCDPT1_0600001_24" localSheetId="0">'GMIC_2020-Annu_SCDPT1'!$AB$47</definedName>
    <definedName name="SCDPT1_0600001_25" localSheetId="0">'GMIC_2020-Annu_SCDPT1'!$AC$47</definedName>
    <definedName name="SCDPT1_0600001_27" localSheetId="0">'GMIC_2020-Annu_SCDPT1'!$AE$47</definedName>
    <definedName name="SCDPT1_0600001_28" localSheetId="0">'GMIC_2020-Annu_SCDPT1'!$AF$47</definedName>
    <definedName name="SCDPT1_0600001_29" localSheetId="0">'GMIC_2020-Annu_SCDPT1'!$AG$47</definedName>
    <definedName name="SCDPT1_0600001_3" localSheetId="0">'GMIC_2020-Annu_SCDPT1'!$E$47</definedName>
    <definedName name="SCDPT1_0600001_30" localSheetId="0">'GMIC_2020-Annu_SCDPT1'!$AH$47</definedName>
    <definedName name="SCDPT1_0600001_31" localSheetId="0">'GMIC_2020-Annu_SCDPT1'!$AI$47</definedName>
    <definedName name="SCDPT1_0600001_32" localSheetId="0">'GMIC_2020-Annu_SCDPT1'!$AJ$47</definedName>
    <definedName name="SCDPT1_0600001_33" localSheetId="0">'GMIC_2020-Annu_SCDPT1'!$AK$47</definedName>
    <definedName name="SCDPT1_0600001_34" localSheetId="0">'GMIC_2020-Annu_SCDPT1'!$AL$47</definedName>
    <definedName name="SCDPT1_0600001_35" localSheetId="0">'GMIC_2020-Annu_SCDPT1'!$AM$47</definedName>
    <definedName name="SCDPT1_0600001_4" localSheetId="0">'GMIC_2020-Annu_SCDPT1'!$F$47</definedName>
    <definedName name="SCDPT1_0600001_5" localSheetId="0">'GMIC_2020-Annu_SCDPT1'!$G$47</definedName>
    <definedName name="SCDPT1_0600001_6.01" localSheetId="0">'GMIC_2020-Annu_SCDPT1'!$H$47</definedName>
    <definedName name="SCDPT1_0600001_6.02" localSheetId="0">'GMIC_2020-Annu_SCDPT1'!$I$47</definedName>
    <definedName name="SCDPT1_0600001_6.03" localSheetId="0">'GMIC_2020-Annu_SCDPT1'!$J$47</definedName>
    <definedName name="SCDPT1_0600001_7" localSheetId="0">'GMIC_2020-Annu_SCDPT1'!$K$47</definedName>
    <definedName name="SCDPT1_0600001_8" localSheetId="0">'GMIC_2020-Annu_SCDPT1'!$L$47</definedName>
    <definedName name="SCDPT1_0600001_9" localSheetId="0">'GMIC_2020-Annu_SCDPT1'!$M$47</definedName>
    <definedName name="SCDPT1_0699999_10" localSheetId="0">'GMIC_2020-Annu_SCDPT1'!$N$50</definedName>
    <definedName name="SCDPT1_0699999_11" localSheetId="0">'GMIC_2020-Annu_SCDPT1'!$O$50</definedName>
    <definedName name="SCDPT1_0699999_12" localSheetId="0">'GMIC_2020-Annu_SCDPT1'!$P$50</definedName>
    <definedName name="SCDPT1_0699999_13" localSheetId="0">'GMIC_2020-Annu_SCDPT1'!$Q$50</definedName>
    <definedName name="SCDPT1_0699999_14" localSheetId="0">'GMIC_2020-Annu_SCDPT1'!$R$50</definedName>
    <definedName name="SCDPT1_0699999_15" localSheetId="0">'GMIC_2020-Annu_SCDPT1'!$S$50</definedName>
    <definedName name="SCDPT1_0699999_19" localSheetId="0">'GMIC_2020-Annu_SCDPT1'!$W$50</definedName>
    <definedName name="SCDPT1_0699999_20" localSheetId="0">'GMIC_2020-Annu_SCDPT1'!$X$50</definedName>
    <definedName name="SCDPT1_0699999_7" localSheetId="0">'GMIC_2020-Annu_SCDPT1'!$K$50</definedName>
    <definedName name="SCDPT1_0699999_9" localSheetId="0">'GMIC_2020-Annu_SCDPT1'!$M$50</definedName>
    <definedName name="SCDPT1_06BEGIN_1" localSheetId="0">'GMIC_2020-Annu_SCDPT1'!$C$46</definedName>
    <definedName name="SCDPT1_06BEGIN_10" localSheetId="0">'GMIC_2020-Annu_SCDPT1'!$N$46</definedName>
    <definedName name="SCDPT1_06BEGIN_11" localSheetId="0">'GMIC_2020-Annu_SCDPT1'!$O$46</definedName>
    <definedName name="SCDPT1_06BEGIN_12" localSheetId="0">'GMIC_2020-Annu_SCDPT1'!$P$46</definedName>
    <definedName name="SCDPT1_06BEGIN_13" localSheetId="0">'GMIC_2020-Annu_SCDPT1'!$Q$46</definedName>
    <definedName name="SCDPT1_06BEGIN_14" localSheetId="0">'GMIC_2020-Annu_SCDPT1'!$R$46</definedName>
    <definedName name="SCDPT1_06BEGIN_15" localSheetId="0">'GMIC_2020-Annu_SCDPT1'!$S$46</definedName>
    <definedName name="SCDPT1_06BEGIN_16" localSheetId="0">'GMIC_2020-Annu_SCDPT1'!$T$46</definedName>
    <definedName name="SCDPT1_06BEGIN_17" localSheetId="0">'GMIC_2020-Annu_SCDPT1'!$U$46</definedName>
    <definedName name="SCDPT1_06BEGIN_18" localSheetId="0">'GMIC_2020-Annu_SCDPT1'!$V$46</definedName>
    <definedName name="SCDPT1_06BEGIN_19" localSheetId="0">'GMIC_2020-Annu_SCDPT1'!$W$46</definedName>
    <definedName name="SCDPT1_06BEGIN_2" localSheetId="0">'GMIC_2020-Annu_SCDPT1'!$D$46</definedName>
    <definedName name="SCDPT1_06BEGIN_20" localSheetId="0">'GMIC_2020-Annu_SCDPT1'!$X$46</definedName>
    <definedName name="SCDPT1_06BEGIN_21" localSheetId="0">'GMIC_2020-Annu_SCDPT1'!$Y$46</definedName>
    <definedName name="SCDPT1_06BEGIN_22" localSheetId="0">'GMIC_2020-Annu_SCDPT1'!$Z$46</definedName>
    <definedName name="SCDPT1_06BEGIN_23" localSheetId="0">'GMIC_2020-Annu_SCDPT1'!$AA$46</definedName>
    <definedName name="SCDPT1_06BEGIN_24" localSheetId="0">'GMIC_2020-Annu_SCDPT1'!$AB$46</definedName>
    <definedName name="SCDPT1_06BEGIN_25" localSheetId="0">'GMIC_2020-Annu_SCDPT1'!$AC$46</definedName>
    <definedName name="SCDPT1_06BEGIN_26" localSheetId="0">'GMIC_2020-Annu_SCDPT1'!$AD$46</definedName>
    <definedName name="SCDPT1_06BEGIN_27" localSheetId="0">'GMIC_2020-Annu_SCDPT1'!$AE$46</definedName>
    <definedName name="SCDPT1_06BEGIN_28" localSheetId="0">'GMIC_2020-Annu_SCDPT1'!$AF$46</definedName>
    <definedName name="SCDPT1_06BEGIN_29" localSheetId="0">'GMIC_2020-Annu_SCDPT1'!$AG$46</definedName>
    <definedName name="SCDPT1_06BEGIN_3" localSheetId="0">'GMIC_2020-Annu_SCDPT1'!$E$46</definedName>
    <definedName name="SCDPT1_06BEGIN_30" localSheetId="0">'GMIC_2020-Annu_SCDPT1'!$AH$46</definedName>
    <definedName name="SCDPT1_06BEGIN_31" localSheetId="0">'GMIC_2020-Annu_SCDPT1'!$AI$46</definedName>
    <definedName name="SCDPT1_06BEGIN_32" localSheetId="0">'GMIC_2020-Annu_SCDPT1'!$AJ$46</definedName>
    <definedName name="SCDPT1_06BEGIN_33" localSheetId="0">'GMIC_2020-Annu_SCDPT1'!$AK$46</definedName>
    <definedName name="SCDPT1_06BEGIN_34" localSheetId="0">'GMIC_2020-Annu_SCDPT1'!$AL$46</definedName>
    <definedName name="SCDPT1_06BEGIN_35" localSheetId="0">'GMIC_2020-Annu_SCDPT1'!$AM$46</definedName>
    <definedName name="SCDPT1_06BEGIN_4" localSheetId="0">'GMIC_2020-Annu_SCDPT1'!$F$46</definedName>
    <definedName name="SCDPT1_06BEGIN_5" localSheetId="0">'GMIC_2020-Annu_SCDPT1'!$G$46</definedName>
    <definedName name="SCDPT1_06BEGIN_6.01" localSheetId="0">'GMIC_2020-Annu_SCDPT1'!$H$46</definedName>
    <definedName name="SCDPT1_06BEGIN_6.02" localSheetId="0">'GMIC_2020-Annu_SCDPT1'!$I$46</definedName>
    <definedName name="SCDPT1_06BEGIN_6.03" localSheetId="0">'GMIC_2020-Annu_SCDPT1'!$J$46</definedName>
    <definedName name="SCDPT1_06BEGIN_7" localSheetId="0">'GMIC_2020-Annu_SCDPT1'!$K$46</definedName>
    <definedName name="SCDPT1_06BEGIN_8" localSheetId="0">'GMIC_2020-Annu_SCDPT1'!$L$46</definedName>
    <definedName name="SCDPT1_06BEGIN_9" localSheetId="0">'GMIC_2020-Annu_SCDPT1'!$M$46</definedName>
    <definedName name="SCDPT1_06ENDIN_10" localSheetId="0">'GMIC_2020-Annu_SCDPT1'!$N$49</definedName>
    <definedName name="SCDPT1_06ENDIN_11" localSheetId="0">'GMIC_2020-Annu_SCDPT1'!$O$49</definedName>
    <definedName name="SCDPT1_06ENDIN_12" localSheetId="0">'GMIC_2020-Annu_SCDPT1'!$P$49</definedName>
    <definedName name="SCDPT1_06ENDIN_13" localSheetId="0">'GMIC_2020-Annu_SCDPT1'!$Q$49</definedName>
    <definedName name="SCDPT1_06ENDIN_14" localSheetId="0">'GMIC_2020-Annu_SCDPT1'!$R$49</definedName>
    <definedName name="SCDPT1_06ENDIN_15" localSheetId="0">'GMIC_2020-Annu_SCDPT1'!$S$49</definedName>
    <definedName name="SCDPT1_06ENDIN_16" localSheetId="0">'GMIC_2020-Annu_SCDPT1'!$T$49</definedName>
    <definedName name="SCDPT1_06ENDIN_17" localSheetId="0">'GMIC_2020-Annu_SCDPT1'!$U$49</definedName>
    <definedName name="SCDPT1_06ENDIN_18" localSheetId="0">'GMIC_2020-Annu_SCDPT1'!$V$49</definedName>
    <definedName name="SCDPT1_06ENDIN_19" localSheetId="0">'GMIC_2020-Annu_SCDPT1'!$W$49</definedName>
    <definedName name="SCDPT1_06ENDIN_2" localSheetId="0">'GMIC_2020-Annu_SCDPT1'!$D$49</definedName>
    <definedName name="SCDPT1_06ENDIN_20" localSheetId="0">'GMIC_2020-Annu_SCDPT1'!$X$49</definedName>
    <definedName name="SCDPT1_06ENDIN_21" localSheetId="0">'GMIC_2020-Annu_SCDPT1'!$Y$49</definedName>
    <definedName name="SCDPT1_06ENDIN_22" localSheetId="0">'GMIC_2020-Annu_SCDPT1'!$Z$49</definedName>
    <definedName name="SCDPT1_06ENDIN_23" localSheetId="0">'GMIC_2020-Annu_SCDPT1'!$AA$49</definedName>
    <definedName name="SCDPT1_06ENDIN_24" localSheetId="0">'GMIC_2020-Annu_SCDPT1'!$AB$49</definedName>
    <definedName name="SCDPT1_06ENDIN_25" localSheetId="0">'GMIC_2020-Annu_SCDPT1'!$AC$49</definedName>
    <definedName name="SCDPT1_06ENDIN_26" localSheetId="0">'GMIC_2020-Annu_SCDPT1'!$AD$49</definedName>
    <definedName name="SCDPT1_06ENDIN_27" localSheetId="0">'GMIC_2020-Annu_SCDPT1'!$AE$49</definedName>
    <definedName name="SCDPT1_06ENDIN_28" localSheetId="0">'GMIC_2020-Annu_SCDPT1'!$AF$49</definedName>
    <definedName name="SCDPT1_06ENDIN_29" localSheetId="0">'GMIC_2020-Annu_SCDPT1'!$AG$49</definedName>
    <definedName name="SCDPT1_06ENDIN_3" localSheetId="0">'GMIC_2020-Annu_SCDPT1'!$E$49</definedName>
    <definedName name="SCDPT1_06ENDIN_30" localSheetId="0">'GMIC_2020-Annu_SCDPT1'!$AH$49</definedName>
    <definedName name="SCDPT1_06ENDIN_31" localSheetId="0">'GMIC_2020-Annu_SCDPT1'!$AI$49</definedName>
    <definedName name="SCDPT1_06ENDIN_32" localSheetId="0">'GMIC_2020-Annu_SCDPT1'!$AJ$49</definedName>
    <definedName name="SCDPT1_06ENDIN_33" localSheetId="0">'GMIC_2020-Annu_SCDPT1'!$AK$49</definedName>
    <definedName name="SCDPT1_06ENDIN_34" localSheetId="0">'GMIC_2020-Annu_SCDPT1'!$AL$49</definedName>
    <definedName name="SCDPT1_06ENDIN_35" localSheetId="0">'GMIC_2020-Annu_SCDPT1'!$AM$49</definedName>
    <definedName name="SCDPT1_06ENDIN_4" localSheetId="0">'GMIC_2020-Annu_SCDPT1'!$F$49</definedName>
    <definedName name="SCDPT1_06ENDIN_5" localSheetId="0">'GMIC_2020-Annu_SCDPT1'!$G$49</definedName>
    <definedName name="SCDPT1_06ENDIN_6.01" localSheetId="0">'GMIC_2020-Annu_SCDPT1'!$H$49</definedName>
    <definedName name="SCDPT1_06ENDIN_6.02" localSheetId="0">'GMIC_2020-Annu_SCDPT1'!$I$49</definedName>
    <definedName name="SCDPT1_06ENDIN_6.03" localSheetId="0">'GMIC_2020-Annu_SCDPT1'!$J$49</definedName>
    <definedName name="SCDPT1_06ENDIN_7" localSheetId="0">'GMIC_2020-Annu_SCDPT1'!$K$49</definedName>
    <definedName name="SCDPT1_06ENDIN_8" localSheetId="0">'GMIC_2020-Annu_SCDPT1'!$L$49</definedName>
    <definedName name="SCDPT1_06ENDIN_9" localSheetId="0">'GMIC_2020-Annu_SCDPT1'!$M$49</definedName>
    <definedName name="SCDPT1_0700000_Range" localSheetId="0">'GMIC_2020-Annu_SCDPT1'!$B$51:$AM$53</definedName>
    <definedName name="SCDPT1_0799999_10" localSheetId="0">'GMIC_2020-Annu_SCDPT1'!$N$54</definedName>
    <definedName name="SCDPT1_0799999_11" localSheetId="0">'GMIC_2020-Annu_SCDPT1'!$O$54</definedName>
    <definedName name="SCDPT1_0799999_12" localSheetId="0">'GMIC_2020-Annu_SCDPT1'!$P$54</definedName>
    <definedName name="SCDPT1_0799999_13" localSheetId="0">'GMIC_2020-Annu_SCDPT1'!$Q$54</definedName>
    <definedName name="SCDPT1_0799999_14" localSheetId="0">'GMIC_2020-Annu_SCDPT1'!$R$54</definedName>
    <definedName name="SCDPT1_0799999_15" localSheetId="0">'GMIC_2020-Annu_SCDPT1'!$S$54</definedName>
    <definedName name="SCDPT1_0799999_19" localSheetId="0">'GMIC_2020-Annu_SCDPT1'!$W$54</definedName>
    <definedName name="SCDPT1_0799999_20" localSheetId="0">'GMIC_2020-Annu_SCDPT1'!$X$54</definedName>
    <definedName name="SCDPT1_0799999_7" localSheetId="0">'GMIC_2020-Annu_SCDPT1'!$K$54</definedName>
    <definedName name="SCDPT1_0799999_9" localSheetId="0">'GMIC_2020-Annu_SCDPT1'!$M$54</definedName>
    <definedName name="SCDPT1_07BEGIN_1" localSheetId="0">'GMIC_2020-Annu_SCDPT1'!$C$51</definedName>
    <definedName name="SCDPT1_07BEGIN_10" localSheetId="0">'GMIC_2020-Annu_SCDPT1'!$N$51</definedName>
    <definedName name="SCDPT1_07BEGIN_11" localSheetId="0">'GMIC_2020-Annu_SCDPT1'!$O$51</definedName>
    <definedName name="SCDPT1_07BEGIN_12" localSheetId="0">'GMIC_2020-Annu_SCDPT1'!$P$51</definedName>
    <definedName name="SCDPT1_07BEGIN_13" localSheetId="0">'GMIC_2020-Annu_SCDPT1'!$Q$51</definedName>
    <definedName name="SCDPT1_07BEGIN_14" localSheetId="0">'GMIC_2020-Annu_SCDPT1'!$R$51</definedName>
    <definedName name="SCDPT1_07BEGIN_15" localSheetId="0">'GMIC_2020-Annu_SCDPT1'!$S$51</definedName>
    <definedName name="SCDPT1_07BEGIN_16" localSheetId="0">'GMIC_2020-Annu_SCDPT1'!$T$51</definedName>
    <definedName name="SCDPT1_07BEGIN_17" localSheetId="0">'GMIC_2020-Annu_SCDPT1'!$U$51</definedName>
    <definedName name="SCDPT1_07BEGIN_18" localSheetId="0">'GMIC_2020-Annu_SCDPT1'!$V$51</definedName>
    <definedName name="SCDPT1_07BEGIN_19" localSheetId="0">'GMIC_2020-Annu_SCDPT1'!$W$51</definedName>
    <definedName name="SCDPT1_07BEGIN_2" localSheetId="0">'GMIC_2020-Annu_SCDPT1'!$D$51</definedName>
    <definedName name="SCDPT1_07BEGIN_20" localSheetId="0">'GMIC_2020-Annu_SCDPT1'!$X$51</definedName>
    <definedName name="SCDPT1_07BEGIN_21" localSheetId="0">'GMIC_2020-Annu_SCDPT1'!$Y$51</definedName>
    <definedName name="SCDPT1_07BEGIN_22" localSheetId="0">'GMIC_2020-Annu_SCDPT1'!$Z$51</definedName>
    <definedName name="SCDPT1_07BEGIN_23" localSheetId="0">'GMIC_2020-Annu_SCDPT1'!$AA$51</definedName>
    <definedName name="SCDPT1_07BEGIN_24" localSheetId="0">'GMIC_2020-Annu_SCDPT1'!$AB$51</definedName>
    <definedName name="SCDPT1_07BEGIN_25" localSheetId="0">'GMIC_2020-Annu_SCDPT1'!$AC$51</definedName>
    <definedName name="SCDPT1_07BEGIN_26" localSheetId="0">'GMIC_2020-Annu_SCDPT1'!$AD$51</definedName>
    <definedName name="SCDPT1_07BEGIN_27" localSheetId="0">'GMIC_2020-Annu_SCDPT1'!$AE$51</definedName>
    <definedName name="SCDPT1_07BEGIN_28" localSheetId="0">'GMIC_2020-Annu_SCDPT1'!$AF$51</definedName>
    <definedName name="SCDPT1_07BEGIN_29" localSheetId="0">'GMIC_2020-Annu_SCDPT1'!$AG$51</definedName>
    <definedName name="SCDPT1_07BEGIN_3" localSheetId="0">'GMIC_2020-Annu_SCDPT1'!$E$51</definedName>
    <definedName name="SCDPT1_07BEGIN_30" localSheetId="0">'GMIC_2020-Annu_SCDPT1'!$AH$51</definedName>
    <definedName name="SCDPT1_07BEGIN_31" localSheetId="0">'GMIC_2020-Annu_SCDPT1'!$AI$51</definedName>
    <definedName name="SCDPT1_07BEGIN_32" localSheetId="0">'GMIC_2020-Annu_SCDPT1'!$AJ$51</definedName>
    <definedName name="SCDPT1_07BEGIN_33" localSheetId="0">'GMIC_2020-Annu_SCDPT1'!$AK$51</definedName>
    <definedName name="SCDPT1_07BEGIN_34" localSheetId="0">'GMIC_2020-Annu_SCDPT1'!$AL$51</definedName>
    <definedName name="SCDPT1_07BEGIN_35" localSheetId="0">'GMIC_2020-Annu_SCDPT1'!$AM$51</definedName>
    <definedName name="SCDPT1_07BEGIN_4" localSheetId="0">'GMIC_2020-Annu_SCDPT1'!$F$51</definedName>
    <definedName name="SCDPT1_07BEGIN_5" localSheetId="0">'GMIC_2020-Annu_SCDPT1'!$G$51</definedName>
    <definedName name="SCDPT1_07BEGIN_6.01" localSheetId="0">'GMIC_2020-Annu_SCDPT1'!$H$51</definedName>
    <definedName name="SCDPT1_07BEGIN_6.02" localSheetId="0">'GMIC_2020-Annu_SCDPT1'!$I$51</definedName>
    <definedName name="SCDPT1_07BEGIN_6.03" localSheetId="0">'GMIC_2020-Annu_SCDPT1'!$J$51</definedName>
    <definedName name="SCDPT1_07BEGIN_7" localSheetId="0">'GMIC_2020-Annu_SCDPT1'!$K$51</definedName>
    <definedName name="SCDPT1_07BEGIN_8" localSheetId="0">'GMIC_2020-Annu_SCDPT1'!$L$51</definedName>
    <definedName name="SCDPT1_07BEGIN_9" localSheetId="0">'GMIC_2020-Annu_SCDPT1'!$M$51</definedName>
    <definedName name="SCDPT1_07ENDIN_10" localSheetId="0">'GMIC_2020-Annu_SCDPT1'!$N$53</definedName>
    <definedName name="SCDPT1_07ENDIN_11" localSheetId="0">'GMIC_2020-Annu_SCDPT1'!$O$53</definedName>
    <definedName name="SCDPT1_07ENDIN_12" localSheetId="0">'GMIC_2020-Annu_SCDPT1'!$P$53</definedName>
    <definedName name="SCDPT1_07ENDIN_13" localSheetId="0">'GMIC_2020-Annu_SCDPT1'!$Q$53</definedName>
    <definedName name="SCDPT1_07ENDIN_14" localSheetId="0">'GMIC_2020-Annu_SCDPT1'!$R$53</definedName>
    <definedName name="SCDPT1_07ENDIN_15" localSheetId="0">'GMIC_2020-Annu_SCDPT1'!$S$53</definedName>
    <definedName name="SCDPT1_07ENDIN_16" localSheetId="0">'GMIC_2020-Annu_SCDPT1'!$T$53</definedName>
    <definedName name="SCDPT1_07ENDIN_17" localSheetId="0">'GMIC_2020-Annu_SCDPT1'!$U$53</definedName>
    <definedName name="SCDPT1_07ENDIN_18" localSheetId="0">'GMIC_2020-Annu_SCDPT1'!$V$53</definedName>
    <definedName name="SCDPT1_07ENDIN_19" localSheetId="0">'GMIC_2020-Annu_SCDPT1'!$W$53</definedName>
    <definedName name="SCDPT1_07ENDIN_2" localSheetId="0">'GMIC_2020-Annu_SCDPT1'!$D$53</definedName>
    <definedName name="SCDPT1_07ENDIN_20" localSheetId="0">'GMIC_2020-Annu_SCDPT1'!$X$53</definedName>
    <definedName name="SCDPT1_07ENDIN_21" localSheetId="0">'GMIC_2020-Annu_SCDPT1'!$Y$53</definedName>
    <definedName name="SCDPT1_07ENDIN_22" localSheetId="0">'GMIC_2020-Annu_SCDPT1'!$Z$53</definedName>
    <definedName name="SCDPT1_07ENDIN_23" localSheetId="0">'GMIC_2020-Annu_SCDPT1'!$AA$53</definedName>
    <definedName name="SCDPT1_07ENDIN_24" localSheetId="0">'GMIC_2020-Annu_SCDPT1'!$AB$53</definedName>
    <definedName name="SCDPT1_07ENDIN_25" localSheetId="0">'GMIC_2020-Annu_SCDPT1'!$AC$53</definedName>
    <definedName name="SCDPT1_07ENDIN_26" localSheetId="0">'GMIC_2020-Annu_SCDPT1'!$AD$53</definedName>
    <definedName name="SCDPT1_07ENDIN_27" localSheetId="0">'GMIC_2020-Annu_SCDPT1'!$AE$53</definedName>
    <definedName name="SCDPT1_07ENDIN_28" localSheetId="0">'GMIC_2020-Annu_SCDPT1'!$AF$53</definedName>
    <definedName name="SCDPT1_07ENDIN_29" localSheetId="0">'GMIC_2020-Annu_SCDPT1'!$AG$53</definedName>
    <definedName name="SCDPT1_07ENDIN_3" localSheetId="0">'GMIC_2020-Annu_SCDPT1'!$E$53</definedName>
    <definedName name="SCDPT1_07ENDIN_30" localSheetId="0">'GMIC_2020-Annu_SCDPT1'!$AH$53</definedName>
    <definedName name="SCDPT1_07ENDIN_31" localSheetId="0">'GMIC_2020-Annu_SCDPT1'!$AI$53</definedName>
    <definedName name="SCDPT1_07ENDIN_32" localSheetId="0">'GMIC_2020-Annu_SCDPT1'!$AJ$53</definedName>
    <definedName name="SCDPT1_07ENDIN_33" localSheetId="0">'GMIC_2020-Annu_SCDPT1'!$AK$53</definedName>
    <definedName name="SCDPT1_07ENDIN_34" localSheetId="0">'GMIC_2020-Annu_SCDPT1'!$AL$53</definedName>
    <definedName name="SCDPT1_07ENDIN_35" localSheetId="0">'GMIC_2020-Annu_SCDPT1'!$AM$53</definedName>
    <definedName name="SCDPT1_07ENDIN_4" localSheetId="0">'GMIC_2020-Annu_SCDPT1'!$F$53</definedName>
    <definedName name="SCDPT1_07ENDIN_5" localSheetId="0">'GMIC_2020-Annu_SCDPT1'!$G$53</definedName>
    <definedName name="SCDPT1_07ENDIN_6.01" localSheetId="0">'GMIC_2020-Annu_SCDPT1'!$H$53</definedName>
    <definedName name="SCDPT1_07ENDIN_6.02" localSheetId="0">'GMIC_2020-Annu_SCDPT1'!$I$53</definedName>
    <definedName name="SCDPT1_07ENDIN_6.03" localSheetId="0">'GMIC_2020-Annu_SCDPT1'!$J$53</definedName>
    <definedName name="SCDPT1_07ENDIN_7" localSheetId="0">'GMIC_2020-Annu_SCDPT1'!$K$53</definedName>
    <definedName name="SCDPT1_07ENDIN_8" localSheetId="0">'GMIC_2020-Annu_SCDPT1'!$L$53</definedName>
    <definedName name="SCDPT1_07ENDIN_9" localSheetId="0">'GMIC_2020-Annu_SCDPT1'!$M$53</definedName>
    <definedName name="SCDPT1_0800000_Range" localSheetId="0">'GMIC_2020-Annu_SCDPT1'!$B$55:$AM$57</definedName>
    <definedName name="SCDPT1_0899999_10" localSheetId="0">'GMIC_2020-Annu_SCDPT1'!$N$58</definedName>
    <definedName name="SCDPT1_0899999_11" localSheetId="0">'GMIC_2020-Annu_SCDPT1'!$O$58</definedName>
    <definedName name="SCDPT1_0899999_12" localSheetId="0">'GMIC_2020-Annu_SCDPT1'!$P$58</definedName>
    <definedName name="SCDPT1_0899999_13" localSheetId="0">'GMIC_2020-Annu_SCDPT1'!$Q$58</definedName>
    <definedName name="SCDPT1_0899999_14" localSheetId="0">'GMIC_2020-Annu_SCDPT1'!$R$58</definedName>
    <definedName name="SCDPT1_0899999_15" localSheetId="0">'GMIC_2020-Annu_SCDPT1'!$S$58</definedName>
    <definedName name="SCDPT1_0899999_19" localSheetId="0">'GMIC_2020-Annu_SCDPT1'!$W$58</definedName>
    <definedName name="SCDPT1_0899999_20" localSheetId="0">'GMIC_2020-Annu_SCDPT1'!$X$58</definedName>
    <definedName name="SCDPT1_0899999_7" localSheetId="0">'GMIC_2020-Annu_SCDPT1'!$K$58</definedName>
    <definedName name="SCDPT1_0899999_9" localSheetId="0">'GMIC_2020-Annu_SCDPT1'!$M$58</definedName>
    <definedName name="SCDPT1_08BEGIN_1" localSheetId="0">'GMIC_2020-Annu_SCDPT1'!$C$55</definedName>
    <definedName name="SCDPT1_08BEGIN_10" localSheetId="0">'GMIC_2020-Annu_SCDPT1'!$N$55</definedName>
    <definedName name="SCDPT1_08BEGIN_11" localSheetId="0">'GMIC_2020-Annu_SCDPT1'!$O$55</definedName>
    <definedName name="SCDPT1_08BEGIN_12" localSheetId="0">'GMIC_2020-Annu_SCDPT1'!$P$55</definedName>
    <definedName name="SCDPT1_08BEGIN_13" localSheetId="0">'GMIC_2020-Annu_SCDPT1'!$Q$55</definedName>
    <definedName name="SCDPT1_08BEGIN_14" localSheetId="0">'GMIC_2020-Annu_SCDPT1'!$R$55</definedName>
    <definedName name="SCDPT1_08BEGIN_15" localSheetId="0">'GMIC_2020-Annu_SCDPT1'!$S$55</definedName>
    <definedName name="SCDPT1_08BEGIN_16" localSheetId="0">'GMIC_2020-Annu_SCDPT1'!$T$55</definedName>
    <definedName name="SCDPT1_08BEGIN_17" localSheetId="0">'GMIC_2020-Annu_SCDPT1'!$U$55</definedName>
    <definedName name="SCDPT1_08BEGIN_18" localSheetId="0">'GMIC_2020-Annu_SCDPT1'!$V$55</definedName>
    <definedName name="SCDPT1_08BEGIN_19" localSheetId="0">'GMIC_2020-Annu_SCDPT1'!$W$55</definedName>
    <definedName name="SCDPT1_08BEGIN_2" localSheetId="0">'GMIC_2020-Annu_SCDPT1'!$D$55</definedName>
    <definedName name="SCDPT1_08BEGIN_20" localSheetId="0">'GMIC_2020-Annu_SCDPT1'!$X$55</definedName>
    <definedName name="SCDPT1_08BEGIN_21" localSheetId="0">'GMIC_2020-Annu_SCDPT1'!$Y$55</definedName>
    <definedName name="SCDPT1_08BEGIN_22" localSheetId="0">'GMIC_2020-Annu_SCDPT1'!$Z$55</definedName>
    <definedName name="SCDPT1_08BEGIN_23" localSheetId="0">'GMIC_2020-Annu_SCDPT1'!$AA$55</definedName>
    <definedName name="SCDPT1_08BEGIN_24" localSheetId="0">'GMIC_2020-Annu_SCDPT1'!$AB$55</definedName>
    <definedName name="SCDPT1_08BEGIN_25" localSheetId="0">'GMIC_2020-Annu_SCDPT1'!$AC$55</definedName>
    <definedName name="SCDPT1_08BEGIN_26" localSheetId="0">'GMIC_2020-Annu_SCDPT1'!$AD$55</definedName>
    <definedName name="SCDPT1_08BEGIN_27" localSheetId="0">'GMIC_2020-Annu_SCDPT1'!$AE$55</definedName>
    <definedName name="SCDPT1_08BEGIN_28" localSheetId="0">'GMIC_2020-Annu_SCDPT1'!$AF$55</definedName>
    <definedName name="SCDPT1_08BEGIN_29" localSheetId="0">'GMIC_2020-Annu_SCDPT1'!$AG$55</definedName>
    <definedName name="SCDPT1_08BEGIN_3" localSheetId="0">'GMIC_2020-Annu_SCDPT1'!$E$55</definedName>
    <definedName name="SCDPT1_08BEGIN_30" localSheetId="0">'GMIC_2020-Annu_SCDPT1'!$AH$55</definedName>
    <definedName name="SCDPT1_08BEGIN_31" localSheetId="0">'GMIC_2020-Annu_SCDPT1'!$AI$55</definedName>
    <definedName name="SCDPT1_08BEGIN_32" localSheetId="0">'GMIC_2020-Annu_SCDPT1'!$AJ$55</definedName>
    <definedName name="SCDPT1_08BEGIN_33" localSheetId="0">'GMIC_2020-Annu_SCDPT1'!$AK$55</definedName>
    <definedName name="SCDPT1_08BEGIN_34" localSheetId="0">'GMIC_2020-Annu_SCDPT1'!$AL$55</definedName>
    <definedName name="SCDPT1_08BEGIN_35" localSheetId="0">'GMIC_2020-Annu_SCDPT1'!$AM$55</definedName>
    <definedName name="SCDPT1_08BEGIN_4" localSheetId="0">'GMIC_2020-Annu_SCDPT1'!$F$55</definedName>
    <definedName name="SCDPT1_08BEGIN_5" localSheetId="0">'GMIC_2020-Annu_SCDPT1'!$G$55</definedName>
    <definedName name="SCDPT1_08BEGIN_6.01" localSheetId="0">'GMIC_2020-Annu_SCDPT1'!$H$55</definedName>
    <definedName name="SCDPT1_08BEGIN_6.02" localSheetId="0">'GMIC_2020-Annu_SCDPT1'!$I$55</definedName>
    <definedName name="SCDPT1_08BEGIN_6.03" localSheetId="0">'GMIC_2020-Annu_SCDPT1'!$J$55</definedName>
    <definedName name="SCDPT1_08BEGIN_7" localSheetId="0">'GMIC_2020-Annu_SCDPT1'!$K$55</definedName>
    <definedName name="SCDPT1_08BEGIN_8" localSheetId="0">'GMIC_2020-Annu_SCDPT1'!$L$55</definedName>
    <definedName name="SCDPT1_08BEGIN_9" localSheetId="0">'GMIC_2020-Annu_SCDPT1'!$M$55</definedName>
    <definedName name="SCDPT1_08ENDIN_10" localSheetId="0">'GMIC_2020-Annu_SCDPT1'!$N$57</definedName>
    <definedName name="SCDPT1_08ENDIN_11" localSheetId="0">'GMIC_2020-Annu_SCDPT1'!$O$57</definedName>
    <definedName name="SCDPT1_08ENDIN_12" localSheetId="0">'GMIC_2020-Annu_SCDPT1'!$P$57</definedName>
    <definedName name="SCDPT1_08ENDIN_13" localSheetId="0">'GMIC_2020-Annu_SCDPT1'!$Q$57</definedName>
    <definedName name="SCDPT1_08ENDIN_14" localSheetId="0">'GMIC_2020-Annu_SCDPT1'!$R$57</definedName>
    <definedName name="SCDPT1_08ENDIN_15" localSheetId="0">'GMIC_2020-Annu_SCDPT1'!$S$57</definedName>
    <definedName name="SCDPT1_08ENDIN_16" localSheetId="0">'GMIC_2020-Annu_SCDPT1'!$T$57</definedName>
    <definedName name="SCDPT1_08ENDIN_17" localSheetId="0">'GMIC_2020-Annu_SCDPT1'!$U$57</definedName>
    <definedName name="SCDPT1_08ENDIN_18" localSheetId="0">'GMIC_2020-Annu_SCDPT1'!$V$57</definedName>
    <definedName name="SCDPT1_08ENDIN_19" localSheetId="0">'GMIC_2020-Annu_SCDPT1'!$W$57</definedName>
    <definedName name="SCDPT1_08ENDIN_2" localSheetId="0">'GMIC_2020-Annu_SCDPT1'!$D$57</definedName>
    <definedName name="SCDPT1_08ENDIN_20" localSheetId="0">'GMIC_2020-Annu_SCDPT1'!$X$57</definedName>
    <definedName name="SCDPT1_08ENDIN_21" localSheetId="0">'GMIC_2020-Annu_SCDPT1'!$Y$57</definedName>
    <definedName name="SCDPT1_08ENDIN_22" localSheetId="0">'GMIC_2020-Annu_SCDPT1'!$Z$57</definedName>
    <definedName name="SCDPT1_08ENDIN_23" localSheetId="0">'GMIC_2020-Annu_SCDPT1'!$AA$57</definedName>
    <definedName name="SCDPT1_08ENDIN_24" localSheetId="0">'GMIC_2020-Annu_SCDPT1'!$AB$57</definedName>
    <definedName name="SCDPT1_08ENDIN_25" localSheetId="0">'GMIC_2020-Annu_SCDPT1'!$AC$57</definedName>
    <definedName name="SCDPT1_08ENDIN_26" localSheetId="0">'GMIC_2020-Annu_SCDPT1'!$AD$57</definedName>
    <definedName name="SCDPT1_08ENDIN_27" localSheetId="0">'GMIC_2020-Annu_SCDPT1'!$AE$57</definedName>
    <definedName name="SCDPT1_08ENDIN_28" localSheetId="0">'GMIC_2020-Annu_SCDPT1'!$AF$57</definedName>
    <definedName name="SCDPT1_08ENDIN_29" localSheetId="0">'GMIC_2020-Annu_SCDPT1'!$AG$57</definedName>
    <definedName name="SCDPT1_08ENDIN_3" localSheetId="0">'GMIC_2020-Annu_SCDPT1'!$E$57</definedName>
    <definedName name="SCDPT1_08ENDIN_30" localSheetId="0">'GMIC_2020-Annu_SCDPT1'!$AH$57</definedName>
    <definedName name="SCDPT1_08ENDIN_31" localSheetId="0">'GMIC_2020-Annu_SCDPT1'!$AI$57</definedName>
    <definedName name="SCDPT1_08ENDIN_32" localSheetId="0">'GMIC_2020-Annu_SCDPT1'!$AJ$57</definedName>
    <definedName name="SCDPT1_08ENDIN_33" localSheetId="0">'GMIC_2020-Annu_SCDPT1'!$AK$57</definedName>
    <definedName name="SCDPT1_08ENDIN_34" localSheetId="0">'GMIC_2020-Annu_SCDPT1'!$AL$57</definedName>
    <definedName name="SCDPT1_08ENDIN_35" localSheetId="0">'GMIC_2020-Annu_SCDPT1'!$AM$57</definedName>
    <definedName name="SCDPT1_08ENDIN_4" localSheetId="0">'GMIC_2020-Annu_SCDPT1'!$F$57</definedName>
    <definedName name="SCDPT1_08ENDIN_5" localSheetId="0">'GMIC_2020-Annu_SCDPT1'!$G$57</definedName>
    <definedName name="SCDPT1_08ENDIN_6.01" localSheetId="0">'GMIC_2020-Annu_SCDPT1'!$H$57</definedName>
    <definedName name="SCDPT1_08ENDIN_6.02" localSheetId="0">'GMIC_2020-Annu_SCDPT1'!$I$57</definedName>
    <definedName name="SCDPT1_08ENDIN_6.03" localSheetId="0">'GMIC_2020-Annu_SCDPT1'!$J$57</definedName>
    <definedName name="SCDPT1_08ENDIN_7" localSheetId="0">'GMIC_2020-Annu_SCDPT1'!$K$57</definedName>
    <definedName name="SCDPT1_08ENDIN_8" localSheetId="0">'GMIC_2020-Annu_SCDPT1'!$L$57</definedName>
    <definedName name="SCDPT1_08ENDIN_9" localSheetId="0">'GMIC_2020-Annu_SCDPT1'!$M$57</definedName>
    <definedName name="SCDPT1_0900000_Range" localSheetId="0">'GMIC_2020-Annu_SCDPT1'!$B$59:$AM$61</definedName>
    <definedName name="SCDPT1_0999999_10" localSheetId="0">'GMIC_2020-Annu_SCDPT1'!$N$62</definedName>
    <definedName name="SCDPT1_0999999_11" localSheetId="0">'GMIC_2020-Annu_SCDPT1'!$O$62</definedName>
    <definedName name="SCDPT1_0999999_12" localSheetId="0">'GMIC_2020-Annu_SCDPT1'!$P$62</definedName>
    <definedName name="SCDPT1_0999999_13" localSheetId="0">'GMIC_2020-Annu_SCDPT1'!$Q$62</definedName>
    <definedName name="SCDPT1_0999999_14" localSheetId="0">'GMIC_2020-Annu_SCDPT1'!$R$62</definedName>
    <definedName name="SCDPT1_0999999_15" localSheetId="0">'GMIC_2020-Annu_SCDPT1'!$S$62</definedName>
    <definedName name="SCDPT1_0999999_19" localSheetId="0">'GMIC_2020-Annu_SCDPT1'!$W$62</definedName>
    <definedName name="SCDPT1_0999999_20" localSheetId="0">'GMIC_2020-Annu_SCDPT1'!$X$62</definedName>
    <definedName name="SCDPT1_0999999_7" localSheetId="0">'GMIC_2020-Annu_SCDPT1'!$K$62</definedName>
    <definedName name="SCDPT1_0999999_9" localSheetId="0">'GMIC_2020-Annu_SCDPT1'!$M$62</definedName>
    <definedName name="SCDPT1_09BEGIN_1" localSheetId="0">'GMIC_2020-Annu_SCDPT1'!$C$59</definedName>
    <definedName name="SCDPT1_09BEGIN_10" localSheetId="0">'GMIC_2020-Annu_SCDPT1'!$N$59</definedName>
    <definedName name="SCDPT1_09BEGIN_11" localSheetId="0">'GMIC_2020-Annu_SCDPT1'!$O$59</definedName>
    <definedName name="SCDPT1_09BEGIN_12" localSheetId="0">'GMIC_2020-Annu_SCDPT1'!$P$59</definedName>
    <definedName name="SCDPT1_09BEGIN_13" localSheetId="0">'GMIC_2020-Annu_SCDPT1'!$Q$59</definedName>
    <definedName name="SCDPT1_09BEGIN_14" localSheetId="0">'GMIC_2020-Annu_SCDPT1'!$R$59</definedName>
    <definedName name="SCDPT1_09BEGIN_15" localSheetId="0">'GMIC_2020-Annu_SCDPT1'!$S$59</definedName>
    <definedName name="SCDPT1_09BEGIN_16" localSheetId="0">'GMIC_2020-Annu_SCDPT1'!$T$59</definedName>
    <definedName name="SCDPT1_09BEGIN_17" localSheetId="0">'GMIC_2020-Annu_SCDPT1'!$U$59</definedName>
    <definedName name="SCDPT1_09BEGIN_18" localSheetId="0">'GMIC_2020-Annu_SCDPT1'!$V$59</definedName>
    <definedName name="SCDPT1_09BEGIN_19" localSheetId="0">'GMIC_2020-Annu_SCDPT1'!$W$59</definedName>
    <definedName name="SCDPT1_09BEGIN_2" localSheetId="0">'GMIC_2020-Annu_SCDPT1'!$D$59</definedName>
    <definedName name="SCDPT1_09BEGIN_20" localSheetId="0">'GMIC_2020-Annu_SCDPT1'!$X$59</definedName>
    <definedName name="SCDPT1_09BEGIN_21" localSheetId="0">'GMIC_2020-Annu_SCDPT1'!$Y$59</definedName>
    <definedName name="SCDPT1_09BEGIN_22" localSheetId="0">'GMIC_2020-Annu_SCDPT1'!$Z$59</definedName>
    <definedName name="SCDPT1_09BEGIN_23" localSheetId="0">'GMIC_2020-Annu_SCDPT1'!$AA$59</definedName>
    <definedName name="SCDPT1_09BEGIN_24" localSheetId="0">'GMIC_2020-Annu_SCDPT1'!$AB$59</definedName>
    <definedName name="SCDPT1_09BEGIN_25" localSheetId="0">'GMIC_2020-Annu_SCDPT1'!$AC$59</definedName>
    <definedName name="SCDPT1_09BEGIN_26" localSheetId="0">'GMIC_2020-Annu_SCDPT1'!$AD$59</definedName>
    <definedName name="SCDPT1_09BEGIN_27" localSheetId="0">'GMIC_2020-Annu_SCDPT1'!$AE$59</definedName>
    <definedName name="SCDPT1_09BEGIN_28" localSheetId="0">'GMIC_2020-Annu_SCDPT1'!$AF$59</definedName>
    <definedName name="SCDPT1_09BEGIN_29" localSheetId="0">'GMIC_2020-Annu_SCDPT1'!$AG$59</definedName>
    <definedName name="SCDPT1_09BEGIN_3" localSheetId="0">'GMIC_2020-Annu_SCDPT1'!$E$59</definedName>
    <definedName name="SCDPT1_09BEGIN_30" localSheetId="0">'GMIC_2020-Annu_SCDPT1'!$AH$59</definedName>
    <definedName name="SCDPT1_09BEGIN_31" localSheetId="0">'GMIC_2020-Annu_SCDPT1'!$AI$59</definedName>
    <definedName name="SCDPT1_09BEGIN_32" localSheetId="0">'GMIC_2020-Annu_SCDPT1'!$AJ$59</definedName>
    <definedName name="SCDPT1_09BEGIN_33" localSheetId="0">'GMIC_2020-Annu_SCDPT1'!$AK$59</definedName>
    <definedName name="SCDPT1_09BEGIN_34" localSheetId="0">'GMIC_2020-Annu_SCDPT1'!$AL$59</definedName>
    <definedName name="SCDPT1_09BEGIN_35" localSheetId="0">'GMIC_2020-Annu_SCDPT1'!$AM$59</definedName>
    <definedName name="SCDPT1_09BEGIN_4" localSheetId="0">'GMIC_2020-Annu_SCDPT1'!$F$59</definedName>
    <definedName name="SCDPT1_09BEGIN_5" localSheetId="0">'GMIC_2020-Annu_SCDPT1'!$G$59</definedName>
    <definedName name="SCDPT1_09BEGIN_6.01" localSheetId="0">'GMIC_2020-Annu_SCDPT1'!$H$59</definedName>
    <definedName name="SCDPT1_09BEGIN_6.02" localSheetId="0">'GMIC_2020-Annu_SCDPT1'!$I$59</definedName>
    <definedName name="SCDPT1_09BEGIN_6.03" localSheetId="0">'GMIC_2020-Annu_SCDPT1'!$J$59</definedName>
    <definedName name="SCDPT1_09BEGIN_7" localSheetId="0">'GMIC_2020-Annu_SCDPT1'!$K$59</definedName>
    <definedName name="SCDPT1_09BEGIN_8" localSheetId="0">'GMIC_2020-Annu_SCDPT1'!$L$59</definedName>
    <definedName name="SCDPT1_09BEGIN_9" localSheetId="0">'GMIC_2020-Annu_SCDPT1'!$M$59</definedName>
    <definedName name="SCDPT1_09ENDIN_10" localSheetId="0">'GMIC_2020-Annu_SCDPT1'!$N$61</definedName>
    <definedName name="SCDPT1_09ENDIN_11" localSheetId="0">'GMIC_2020-Annu_SCDPT1'!$O$61</definedName>
    <definedName name="SCDPT1_09ENDIN_12" localSheetId="0">'GMIC_2020-Annu_SCDPT1'!$P$61</definedName>
    <definedName name="SCDPT1_09ENDIN_13" localSheetId="0">'GMIC_2020-Annu_SCDPT1'!$Q$61</definedName>
    <definedName name="SCDPT1_09ENDIN_14" localSheetId="0">'GMIC_2020-Annu_SCDPT1'!$R$61</definedName>
    <definedName name="SCDPT1_09ENDIN_15" localSheetId="0">'GMIC_2020-Annu_SCDPT1'!$S$61</definedName>
    <definedName name="SCDPT1_09ENDIN_16" localSheetId="0">'GMIC_2020-Annu_SCDPT1'!$T$61</definedName>
    <definedName name="SCDPT1_09ENDIN_17" localSheetId="0">'GMIC_2020-Annu_SCDPT1'!$U$61</definedName>
    <definedName name="SCDPT1_09ENDIN_18" localSheetId="0">'GMIC_2020-Annu_SCDPT1'!$V$61</definedName>
    <definedName name="SCDPT1_09ENDIN_19" localSheetId="0">'GMIC_2020-Annu_SCDPT1'!$W$61</definedName>
    <definedName name="SCDPT1_09ENDIN_2" localSheetId="0">'GMIC_2020-Annu_SCDPT1'!$D$61</definedName>
    <definedName name="SCDPT1_09ENDIN_20" localSheetId="0">'GMIC_2020-Annu_SCDPT1'!$X$61</definedName>
    <definedName name="SCDPT1_09ENDIN_21" localSheetId="0">'GMIC_2020-Annu_SCDPT1'!$Y$61</definedName>
    <definedName name="SCDPT1_09ENDIN_22" localSheetId="0">'GMIC_2020-Annu_SCDPT1'!$Z$61</definedName>
    <definedName name="SCDPT1_09ENDIN_23" localSheetId="0">'GMIC_2020-Annu_SCDPT1'!$AA$61</definedName>
    <definedName name="SCDPT1_09ENDIN_24" localSheetId="0">'GMIC_2020-Annu_SCDPT1'!$AB$61</definedName>
    <definedName name="SCDPT1_09ENDIN_25" localSheetId="0">'GMIC_2020-Annu_SCDPT1'!$AC$61</definedName>
    <definedName name="SCDPT1_09ENDIN_26" localSheetId="0">'GMIC_2020-Annu_SCDPT1'!$AD$61</definedName>
    <definedName name="SCDPT1_09ENDIN_27" localSheetId="0">'GMIC_2020-Annu_SCDPT1'!$AE$61</definedName>
    <definedName name="SCDPT1_09ENDIN_28" localSheetId="0">'GMIC_2020-Annu_SCDPT1'!$AF$61</definedName>
    <definedName name="SCDPT1_09ENDIN_29" localSheetId="0">'GMIC_2020-Annu_SCDPT1'!$AG$61</definedName>
    <definedName name="SCDPT1_09ENDIN_3" localSheetId="0">'GMIC_2020-Annu_SCDPT1'!$E$61</definedName>
    <definedName name="SCDPT1_09ENDIN_30" localSheetId="0">'GMIC_2020-Annu_SCDPT1'!$AH$61</definedName>
    <definedName name="SCDPT1_09ENDIN_31" localSheetId="0">'GMIC_2020-Annu_SCDPT1'!$AI$61</definedName>
    <definedName name="SCDPT1_09ENDIN_32" localSheetId="0">'GMIC_2020-Annu_SCDPT1'!$AJ$61</definedName>
    <definedName name="SCDPT1_09ENDIN_33" localSheetId="0">'GMIC_2020-Annu_SCDPT1'!$AK$61</definedName>
    <definedName name="SCDPT1_09ENDIN_34" localSheetId="0">'GMIC_2020-Annu_SCDPT1'!$AL$61</definedName>
    <definedName name="SCDPT1_09ENDIN_35" localSheetId="0">'GMIC_2020-Annu_SCDPT1'!$AM$61</definedName>
    <definedName name="SCDPT1_09ENDIN_4" localSheetId="0">'GMIC_2020-Annu_SCDPT1'!$F$61</definedName>
    <definedName name="SCDPT1_09ENDIN_5" localSheetId="0">'GMIC_2020-Annu_SCDPT1'!$G$61</definedName>
    <definedName name="SCDPT1_09ENDIN_6.01" localSheetId="0">'GMIC_2020-Annu_SCDPT1'!$H$61</definedName>
    <definedName name="SCDPT1_09ENDIN_6.02" localSheetId="0">'GMIC_2020-Annu_SCDPT1'!$I$61</definedName>
    <definedName name="SCDPT1_09ENDIN_6.03" localSheetId="0">'GMIC_2020-Annu_SCDPT1'!$J$61</definedName>
    <definedName name="SCDPT1_09ENDIN_7" localSheetId="0">'GMIC_2020-Annu_SCDPT1'!$K$61</definedName>
    <definedName name="SCDPT1_09ENDIN_8" localSheetId="0">'GMIC_2020-Annu_SCDPT1'!$L$61</definedName>
    <definedName name="SCDPT1_09ENDIN_9" localSheetId="0">'GMIC_2020-Annu_SCDPT1'!$M$61</definedName>
    <definedName name="SCDPT1_1099999_10" localSheetId="0">'GMIC_2020-Annu_SCDPT1'!$N$63</definedName>
    <definedName name="SCDPT1_1099999_11" localSheetId="0">'GMIC_2020-Annu_SCDPT1'!$O$63</definedName>
    <definedName name="SCDPT1_1099999_12" localSheetId="0">'GMIC_2020-Annu_SCDPT1'!$P$63</definedName>
    <definedName name="SCDPT1_1099999_13" localSheetId="0">'GMIC_2020-Annu_SCDPT1'!$Q$63</definedName>
    <definedName name="SCDPT1_1099999_14" localSheetId="0">'GMIC_2020-Annu_SCDPT1'!$R$63</definedName>
    <definedName name="SCDPT1_1099999_15" localSheetId="0">'GMIC_2020-Annu_SCDPT1'!$S$63</definedName>
    <definedName name="SCDPT1_1099999_19" localSheetId="0">'GMIC_2020-Annu_SCDPT1'!$W$63</definedName>
    <definedName name="SCDPT1_1099999_20" localSheetId="0">'GMIC_2020-Annu_SCDPT1'!$X$63</definedName>
    <definedName name="SCDPT1_1099999_7" localSheetId="0">'GMIC_2020-Annu_SCDPT1'!$K$63</definedName>
    <definedName name="SCDPT1_1099999_9" localSheetId="0">'GMIC_2020-Annu_SCDPT1'!$M$63</definedName>
    <definedName name="SCDPT1_1100000_Range" localSheetId="0">'GMIC_2020-Annu_SCDPT1'!$B$64:$AM$71</definedName>
    <definedName name="SCDPT1_1100001_1" localSheetId="0">'GMIC_2020-Annu_SCDPT1'!$C$65</definedName>
    <definedName name="SCDPT1_1100001_10" localSheetId="0">'GMIC_2020-Annu_SCDPT1'!$N$65</definedName>
    <definedName name="SCDPT1_1100001_11" localSheetId="0">'GMIC_2020-Annu_SCDPT1'!$O$65</definedName>
    <definedName name="SCDPT1_1100001_12" localSheetId="0">'GMIC_2020-Annu_SCDPT1'!$P$65</definedName>
    <definedName name="SCDPT1_1100001_13" localSheetId="0">'GMIC_2020-Annu_SCDPT1'!$Q$65</definedName>
    <definedName name="SCDPT1_1100001_14" localSheetId="0">'GMIC_2020-Annu_SCDPT1'!$R$65</definedName>
    <definedName name="SCDPT1_1100001_15" localSheetId="0">'GMIC_2020-Annu_SCDPT1'!$S$65</definedName>
    <definedName name="SCDPT1_1100001_16" localSheetId="0">'GMIC_2020-Annu_SCDPT1'!$T$65</definedName>
    <definedName name="SCDPT1_1100001_17" localSheetId="0">'GMIC_2020-Annu_SCDPT1'!$U$65</definedName>
    <definedName name="SCDPT1_1100001_18" localSheetId="0">'GMIC_2020-Annu_SCDPT1'!$V$65</definedName>
    <definedName name="SCDPT1_1100001_19" localSheetId="0">'GMIC_2020-Annu_SCDPT1'!$W$65</definedName>
    <definedName name="SCDPT1_1100001_2" localSheetId="0">'GMIC_2020-Annu_SCDPT1'!$D$65</definedName>
    <definedName name="SCDPT1_1100001_20" localSheetId="0">'GMIC_2020-Annu_SCDPT1'!$X$65</definedName>
    <definedName name="SCDPT1_1100001_21" localSheetId="0">'GMIC_2020-Annu_SCDPT1'!$Y$65</definedName>
    <definedName name="SCDPT1_1100001_22" localSheetId="0">'GMIC_2020-Annu_SCDPT1'!$Z$65</definedName>
    <definedName name="SCDPT1_1100001_23" localSheetId="0">'GMIC_2020-Annu_SCDPT1'!$AA$65</definedName>
    <definedName name="SCDPT1_1100001_24" localSheetId="0">'GMIC_2020-Annu_SCDPT1'!$AB$65</definedName>
    <definedName name="SCDPT1_1100001_25" localSheetId="0">'GMIC_2020-Annu_SCDPT1'!$AC$65</definedName>
    <definedName name="SCDPT1_1100001_27" localSheetId="0">'GMIC_2020-Annu_SCDPT1'!$AE$65</definedName>
    <definedName name="SCDPT1_1100001_28" localSheetId="0">'GMIC_2020-Annu_SCDPT1'!$AF$65</definedName>
    <definedName name="SCDPT1_1100001_29" localSheetId="0">'GMIC_2020-Annu_SCDPT1'!$AG$65</definedName>
    <definedName name="SCDPT1_1100001_3" localSheetId="0">'GMIC_2020-Annu_SCDPT1'!$E$65</definedName>
    <definedName name="SCDPT1_1100001_30" localSheetId="0">'GMIC_2020-Annu_SCDPT1'!$AH$65</definedName>
    <definedName name="SCDPT1_1100001_31" localSheetId="0">'GMIC_2020-Annu_SCDPT1'!$AI$65</definedName>
    <definedName name="SCDPT1_1100001_32" localSheetId="0">'GMIC_2020-Annu_SCDPT1'!$AJ$65</definedName>
    <definedName name="SCDPT1_1100001_33" localSheetId="0">'GMIC_2020-Annu_SCDPT1'!$AK$65</definedName>
    <definedName name="SCDPT1_1100001_34" localSheetId="0">'GMIC_2020-Annu_SCDPT1'!$AL$65</definedName>
    <definedName name="SCDPT1_1100001_35" localSheetId="0">'GMIC_2020-Annu_SCDPT1'!$AM$65</definedName>
    <definedName name="SCDPT1_1100001_4" localSheetId="0">'GMIC_2020-Annu_SCDPT1'!$F$65</definedName>
    <definedName name="SCDPT1_1100001_5" localSheetId="0">'GMIC_2020-Annu_SCDPT1'!$G$65</definedName>
    <definedName name="SCDPT1_1100001_6.01" localSheetId="0">'GMIC_2020-Annu_SCDPT1'!$H$65</definedName>
    <definedName name="SCDPT1_1100001_6.02" localSheetId="0">'GMIC_2020-Annu_SCDPT1'!$I$65</definedName>
    <definedName name="SCDPT1_1100001_6.03" localSheetId="0">'GMIC_2020-Annu_SCDPT1'!$J$65</definedName>
    <definedName name="SCDPT1_1100001_7" localSheetId="0">'GMIC_2020-Annu_SCDPT1'!$K$65</definedName>
    <definedName name="SCDPT1_1100001_8" localSheetId="0">'GMIC_2020-Annu_SCDPT1'!$L$65</definedName>
    <definedName name="SCDPT1_1100001_9" localSheetId="0">'GMIC_2020-Annu_SCDPT1'!$M$65</definedName>
    <definedName name="SCDPT1_1199999_10" localSheetId="0">'GMIC_2020-Annu_SCDPT1'!$N$72</definedName>
    <definedName name="SCDPT1_1199999_11" localSheetId="0">'GMIC_2020-Annu_SCDPT1'!$O$72</definedName>
    <definedName name="SCDPT1_1199999_12" localSheetId="0">'GMIC_2020-Annu_SCDPT1'!$P$72</definedName>
    <definedName name="SCDPT1_1199999_13" localSheetId="0">'GMIC_2020-Annu_SCDPT1'!$Q$72</definedName>
    <definedName name="SCDPT1_1199999_14" localSheetId="0">'GMIC_2020-Annu_SCDPT1'!$R$72</definedName>
    <definedName name="SCDPT1_1199999_15" localSheetId="0">'GMIC_2020-Annu_SCDPT1'!$S$72</definedName>
    <definedName name="SCDPT1_1199999_19" localSheetId="0">'GMIC_2020-Annu_SCDPT1'!$W$72</definedName>
    <definedName name="SCDPT1_1199999_20" localSheetId="0">'GMIC_2020-Annu_SCDPT1'!$X$72</definedName>
    <definedName name="SCDPT1_1199999_7" localSheetId="0">'GMIC_2020-Annu_SCDPT1'!$K$72</definedName>
    <definedName name="SCDPT1_1199999_9" localSheetId="0">'GMIC_2020-Annu_SCDPT1'!$M$72</definedName>
    <definedName name="SCDPT1_11BEGIN_1" localSheetId="0">'GMIC_2020-Annu_SCDPT1'!$C$64</definedName>
    <definedName name="SCDPT1_11BEGIN_10" localSheetId="0">'GMIC_2020-Annu_SCDPT1'!$N$64</definedName>
    <definedName name="SCDPT1_11BEGIN_11" localSheetId="0">'GMIC_2020-Annu_SCDPT1'!$O$64</definedName>
    <definedName name="SCDPT1_11BEGIN_12" localSheetId="0">'GMIC_2020-Annu_SCDPT1'!$P$64</definedName>
    <definedName name="SCDPT1_11BEGIN_13" localSheetId="0">'GMIC_2020-Annu_SCDPT1'!$Q$64</definedName>
    <definedName name="SCDPT1_11BEGIN_14" localSheetId="0">'GMIC_2020-Annu_SCDPT1'!$R$64</definedName>
    <definedName name="SCDPT1_11BEGIN_15" localSheetId="0">'GMIC_2020-Annu_SCDPT1'!$S$64</definedName>
    <definedName name="SCDPT1_11BEGIN_16" localSheetId="0">'GMIC_2020-Annu_SCDPT1'!$T$64</definedName>
    <definedName name="SCDPT1_11BEGIN_17" localSheetId="0">'GMIC_2020-Annu_SCDPT1'!$U$64</definedName>
    <definedName name="SCDPT1_11BEGIN_18" localSheetId="0">'GMIC_2020-Annu_SCDPT1'!$V$64</definedName>
    <definedName name="SCDPT1_11BEGIN_19" localSheetId="0">'GMIC_2020-Annu_SCDPT1'!$W$64</definedName>
    <definedName name="SCDPT1_11BEGIN_2" localSheetId="0">'GMIC_2020-Annu_SCDPT1'!$D$64</definedName>
    <definedName name="SCDPT1_11BEGIN_20" localSheetId="0">'GMIC_2020-Annu_SCDPT1'!$X$64</definedName>
    <definedName name="SCDPT1_11BEGIN_21" localSheetId="0">'GMIC_2020-Annu_SCDPT1'!$Y$64</definedName>
    <definedName name="SCDPT1_11BEGIN_22" localSheetId="0">'GMIC_2020-Annu_SCDPT1'!$Z$64</definedName>
    <definedName name="SCDPT1_11BEGIN_23" localSheetId="0">'GMIC_2020-Annu_SCDPT1'!$AA$64</definedName>
    <definedName name="SCDPT1_11BEGIN_24" localSheetId="0">'GMIC_2020-Annu_SCDPT1'!$AB$64</definedName>
    <definedName name="SCDPT1_11BEGIN_25" localSheetId="0">'GMIC_2020-Annu_SCDPT1'!$AC$64</definedName>
    <definedName name="SCDPT1_11BEGIN_26" localSheetId="0">'GMIC_2020-Annu_SCDPT1'!$AD$64</definedName>
    <definedName name="SCDPT1_11BEGIN_27" localSheetId="0">'GMIC_2020-Annu_SCDPT1'!$AE$64</definedName>
    <definedName name="SCDPT1_11BEGIN_28" localSheetId="0">'GMIC_2020-Annu_SCDPT1'!$AF$64</definedName>
    <definedName name="SCDPT1_11BEGIN_29" localSheetId="0">'GMIC_2020-Annu_SCDPT1'!$AG$64</definedName>
    <definedName name="SCDPT1_11BEGIN_3" localSheetId="0">'GMIC_2020-Annu_SCDPT1'!$E$64</definedName>
    <definedName name="SCDPT1_11BEGIN_30" localSheetId="0">'GMIC_2020-Annu_SCDPT1'!$AH$64</definedName>
    <definedName name="SCDPT1_11BEGIN_31" localSheetId="0">'GMIC_2020-Annu_SCDPT1'!$AI$64</definedName>
    <definedName name="SCDPT1_11BEGIN_32" localSheetId="0">'GMIC_2020-Annu_SCDPT1'!$AJ$64</definedName>
    <definedName name="SCDPT1_11BEGIN_33" localSheetId="0">'GMIC_2020-Annu_SCDPT1'!$AK$64</definedName>
    <definedName name="SCDPT1_11BEGIN_34" localSheetId="0">'GMIC_2020-Annu_SCDPT1'!$AL$64</definedName>
    <definedName name="SCDPT1_11BEGIN_35" localSheetId="0">'GMIC_2020-Annu_SCDPT1'!$AM$64</definedName>
    <definedName name="SCDPT1_11BEGIN_4" localSheetId="0">'GMIC_2020-Annu_SCDPT1'!$F$64</definedName>
    <definedName name="SCDPT1_11BEGIN_5" localSheetId="0">'GMIC_2020-Annu_SCDPT1'!$G$64</definedName>
    <definedName name="SCDPT1_11BEGIN_6.01" localSheetId="0">'GMIC_2020-Annu_SCDPT1'!$H$64</definedName>
    <definedName name="SCDPT1_11BEGIN_6.02" localSheetId="0">'GMIC_2020-Annu_SCDPT1'!$I$64</definedName>
    <definedName name="SCDPT1_11BEGIN_6.03" localSheetId="0">'GMIC_2020-Annu_SCDPT1'!$J$64</definedName>
    <definedName name="SCDPT1_11BEGIN_7" localSheetId="0">'GMIC_2020-Annu_SCDPT1'!$K$64</definedName>
    <definedName name="SCDPT1_11BEGIN_8" localSheetId="0">'GMIC_2020-Annu_SCDPT1'!$L$64</definedName>
    <definedName name="SCDPT1_11BEGIN_9" localSheetId="0">'GMIC_2020-Annu_SCDPT1'!$M$64</definedName>
    <definedName name="SCDPT1_11ENDIN_10" localSheetId="0">'GMIC_2020-Annu_SCDPT1'!$N$71</definedName>
    <definedName name="SCDPT1_11ENDIN_11" localSheetId="0">'GMIC_2020-Annu_SCDPT1'!$O$71</definedName>
    <definedName name="SCDPT1_11ENDIN_12" localSheetId="0">'GMIC_2020-Annu_SCDPT1'!$P$71</definedName>
    <definedName name="SCDPT1_11ENDIN_13" localSheetId="0">'GMIC_2020-Annu_SCDPT1'!$Q$71</definedName>
    <definedName name="SCDPT1_11ENDIN_14" localSheetId="0">'GMIC_2020-Annu_SCDPT1'!$R$71</definedName>
    <definedName name="SCDPT1_11ENDIN_15" localSheetId="0">'GMIC_2020-Annu_SCDPT1'!$S$71</definedName>
    <definedName name="SCDPT1_11ENDIN_16" localSheetId="0">'GMIC_2020-Annu_SCDPT1'!$T$71</definedName>
    <definedName name="SCDPT1_11ENDIN_17" localSheetId="0">'GMIC_2020-Annu_SCDPT1'!$U$71</definedName>
    <definedName name="SCDPT1_11ENDIN_18" localSheetId="0">'GMIC_2020-Annu_SCDPT1'!$V$71</definedName>
    <definedName name="SCDPT1_11ENDIN_19" localSheetId="0">'GMIC_2020-Annu_SCDPT1'!$W$71</definedName>
    <definedName name="SCDPT1_11ENDIN_2" localSheetId="0">'GMIC_2020-Annu_SCDPT1'!$D$71</definedName>
    <definedName name="SCDPT1_11ENDIN_20" localSheetId="0">'GMIC_2020-Annu_SCDPT1'!$X$71</definedName>
    <definedName name="SCDPT1_11ENDIN_21" localSheetId="0">'GMIC_2020-Annu_SCDPT1'!$Y$71</definedName>
    <definedName name="SCDPT1_11ENDIN_22" localSheetId="0">'GMIC_2020-Annu_SCDPT1'!$Z$71</definedName>
    <definedName name="SCDPT1_11ENDIN_23" localSheetId="0">'GMIC_2020-Annu_SCDPT1'!$AA$71</definedName>
    <definedName name="SCDPT1_11ENDIN_24" localSheetId="0">'GMIC_2020-Annu_SCDPT1'!$AB$71</definedName>
    <definedName name="SCDPT1_11ENDIN_25" localSheetId="0">'GMIC_2020-Annu_SCDPT1'!$AC$71</definedName>
    <definedName name="SCDPT1_11ENDIN_26" localSheetId="0">'GMIC_2020-Annu_SCDPT1'!$AD$71</definedName>
    <definedName name="SCDPT1_11ENDIN_27" localSheetId="0">'GMIC_2020-Annu_SCDPT1'!$AE$71</definedName>
    <definedName name="SCDPT1_11ENDIN_28" localSheetId="0">'GMIC_2020-Annu_SCDPT1'!$AF$71</definedName>
    <definedName name="SCDPT1_11ENDIN_29" localSheetId="0">'GMIC_2020-Annu_SCDPT1'!$AG$71</definedName>
    <definedName name="SCDPT1_11ENDIN_3" localSheetId="0">'GMIC_2020-Annu_SCDPT1'!$E$71</definedName>
    <definedName name="SCDPT1_11ENDIN_30" localSheetId="0">'GMIC_2020-Annu_SCDPT1'!$AH$71</definedName>
    <definedName name="SCDPT1_11ENDIN_31" localSheetId="0">'GMIC_2020-Annu_SCDPT1'!$AI$71</definedName>
    <definedName name="SCDPT1_11ENDIN_32" localSheetId="0">'GMIC_2020-Annu_SCDPT1'!$AJ$71</definedName>
    <definedName name="SCDPT1_11ENDIN_33" localSheetId="0">'GMIC_2020-Annu_SCDPT1'!$AK$71</definedName>
    <definedName name="SCDPT1_11ENDIN_34" localSheetId="0">'GMIC_2020-Annu_SCDPT1'!$AL$71</definedName>
    <definedName name="SCDPT1_11ENDIN_35" localSheetId="0">'GMIC_2020-Annu_SCDPT1'!$AM$71</definedName>
    <definedName name="SCDPT1_11ENDIN_4" localSheetId="0">'GMIC_2020-Annu_SCDPT1'!$F$71</definedName>
    <definedName name="SCDPT1_11ENDIN_5" localSheetId="0">'GMIC_2020-Annu_SCDPT1'!$G$71</definedName>
    <definedName name="SCDPT1_11ENDIN_6.01" localSheetId="0">'GMIC_2020-Annu_SCDPT1'!$H$71</definedName>
    <definedName name="SCDPT1_11ENDIN_6.02" localSheetId="0">'GMIC_2020-Annu_SCDPT1'!$I$71</definedName>
    <definedName name="SCDPT1_11ENDIN_6.03" localSheetId="0">'GMIC_2020-Annu_SCDPT1'!$J$71</definedName>
    <definedName name="SCDPT1_11ENDIN_7" localSheetId="0">'GMIC_2020-Annu_SCDPT1'!$K$71</definedName>
    <definedName name="SCDPT1_11ENDIN_8" localSheetId="0">'GMIC_2020-Annu_SCDPT1'!$L$71</definedName>
    <definedName name="SCDPT1_11ENDIN_9" localSheetId="0">'GMIC_2020-Annu_SCDPT1'!$M$71</definedName>
    <definedName name="SCDPT1_1200000_Range" localSheetId="0">'GMIC_2020-Annu_SCDPT1'!$B$73:$AM$75</definedName>
    <definedName name="SCDPT1_1299999_10" localSheetId="0">'GMIC_2020-Annu_SCDPT1'!$N$76</definedName>
    <definedName name="SCDPT1_1299999_11" localSheetId="0">'GMIC_2020-Annu_SCDPT1'!$O$76</definedName>
    <definedName name="SCDPT1_1299999_12" localSheetId="0">'GMIC_2020-Annu_SCDPT1'!$P$76</definedName>
    <definedName name="SCDPT1_1299999_13" localSheetId="0">'GMIC_2020-Annu_SCDPT1'!$Q$76</definedName>
    <definedName name="SCDPT1_1299999_14" localSheetId="0">'GMIC_2020-Annu_SCDPT1'!$R$76</definedName>
    <definedName name="SCDPT1_1299999_15" localSheetId="0">'GMIC_2020-Annu_SCDPT1'!$S$76</definedName>
    <definedName name="SCDPT1_1299999_19" localSheetId="0">'GMIC_2020-Annu_SCDPT1'!$W$76</definedName>
    <definedName name="SCDPT1_1299999_20" localSheetId="0">'GMIC_2020-Annu_SCDPT1'!$X$76</definedName>
    <definedName name="SCDPT1_1299999_7" localSheetId="0">'GMIC_2020-Annu_SCDPT1'!$K$76</definedName>
    <definedName name="SCDPT1_1299999_9" localSheetId="0">'GMIC_2020-Annu_SCDPT1'!$M$76</definedName>
    <definedName name="SCDPT1_12BEGIN_1" localSheetId="0">'GMIC_2020-Annu_SCDPT1'!$C$73</definedName>
    <definedName name="SCDPT1_12BEGIN_10" localSheetId="0">'GMIC_2020-Annu_SCDPT1'!$N$73</definedName>
    <definedName name="SCDPT1_12BEGIN_11" localSheetId="0">'GMIC_2020-Annu_SCDPT1'!$O$73</definedName>
    <definedName name="SCDPT1_12BEGIN_12" localSheetId="0">'GMIC_2020-Annu_SCDPT1'!$P$73</definedName>
    <definedName name="SCDPT1_12BEGIN_13" localSheetId="0">'GMIC_2020-Annu_SCDPT1'!$Q$73</definedName>
    <definedName name="SCDPT1_12BEGIN_14" localSheetId="0">'GMIC_2020-Annu_SCDPT1'!$R$73</definedName>
    <definedName name="SCDPT1_12BEGIN_15" localSheetId="0">'GMIC_2020-Annu_SCDPT1'!$S$73</definedName>
    <definedName name="SCDPT1_12BEGIN_16" localSheetId="0">'GMIC_2020-Annu_SCDPT1'!$T$73</definedName>
    <definedName name="SCDPT1_12BEGIN_17" localSheetId="0">'GMIC_2020-Annu_SCDPT1'!$U$73</definedName>
    <definedName name="SCDPT1_12BEGIN_18" localSheetId="0">'GMIC_2020-Annu_SCDPT1'!$V$73</definedName>
    <definedName name="SCDPT1_12BEGIN_19" localSheetId="0">'GMIC_2020-Annu_SCDPT1'!$W$73</definedName>
    <definedName name="SCDPT1_12BEGIN_2" localSheetId="0">'GMIC_2020-Annu_SCDPT1'!$D$73</definedName>
    <definedName name="SCDPT1_12BEGIN_20" localSheetId="0">'GMIC_2020-Annu_SCDPT1'!$X$73</definedName>
    <definedName name="SCDPT1_12BEGIN_21" localSheetId="0">'GMIC_2020-Annu_SCDPT1'!$Y$73</definedName>
    <definedName name="SCDPT1_12BEGIN_22" localSheetId="0">'GMIC_2020-Annu_SCDPT1'!$Z$73</definedName>
    <definedName name="SCDPT1_12BEGIN_23" localSheetId="0">'GMIC_2020-Annu_SCDPT1'!$AA$73</definedName>
    <definedName name="SCDPT1_12BEGIN_24" localSheetId="0">'GMIC_2020-Annu_SCDPT1'!$AB$73</definedName>
    <definedName name="SCDPT1_12BEGIN_25" localSheetId="0">'GMIC_2020-Annu_SCDPT1'!$AC$73</definedName>
    <definedName name="SCDPT1_12BEGIN_26" localSheetId="0">'GMIC_2020-Annu_SCDPT1'!$AD$73</definedName>
    <definedName name="SCDPT1_12BEGIN_27" localSheetId="0">'GMIC_2020-Annu_SCDPT1'!$AE$73</definedName>
    <definedName name="SCDPT1_12BEGIN_28" localSheetId="0">'GMIC_2020-Annu_SCDPT1'!$AF$73</definedName>
    <definedName name="SCDPT1_12BEGIN_29" localSheetId="0">'GMIC_2020-Annu_SCDPT1'!$AG$73</definedName>
    <definedName name="SCDPT1_12BEGIN_3" localSheetId="0">'GMIC_2020-Annu_SCDPT1'!$E$73</definedName>
    <definedName name="SCDPT1_12BEGIN_30" localSheetId="0">'GMIC_2020-Annu_SCDPT1'!$AH$73</definedName>
    <definedName name="SCDPT1_12BEGIN_31" localSheetId="0">'GMIC_2020-Annu_SCDPT1'!$AI$73</definedName>
    <definedName name="SCDPT1_12BEGIN_32" localSheetId="0">'GMIC_2020-Annu_SCDPT1'!$AJ$73</definedName>
    <definedName name="SCDPT1_12BEGIN_33" localSheetId="0">'GMIC_2020-Annu_SCDPT1'!$AK$73</definedName>
    <definedName name="SCDPT1_12BEGIN_34" localSheetId="0">'GMIC_2020-Annu_SCDPT1'!$AL$73</definedName>
    <definedName name="SCDPT1_12BEGIN_35" localSheetId="0">'GMIC_2020-Annu_SCDPT1'!$AM$73</definedName>
    <definedName name="SCDPT1_12BEGIN_4" localSheetId="0">'GMIC_2020-Annu_SCDPT1'!$F$73</definedName>
    <definedName name="SCDPT1_12BEGIN_5" localSheetId="0">'GMIC_2020-Annu_SCDPT1'!$G$73</definedName>
    <definedName name="SCDPT1_12BEGIN_6.01" localSheetId="0">'GMIC_2020-Annu_SCDPT1'!$H$73</definedName>
    <definedName name="SCDPT1_12BEGIN_6.02" localSheetId="0">'GMIC_2020-Annu_SCDPT1'!$I$73</definedName>
    <definedName name="SCDPT1_12BEGIN_6.03" localSheetId="0">'GMIC_2020-Annu_SCDPT1'!$J$73</definedName>
    <definedName name="SCDPT1_12BEGIN_7" localSheetId="0">'GMIC_2020-Annu_SCDPT1'!$K$73</definedName>
    <definedName name="SCDPT1_12BEGIN_8" localSheetId="0">'GMIC_2020-Annu_SCDPT1'!$L$73</definedName>
    <definedName name="SCDPT1_12BEGIN_9" localSheetId="0">'GMIC_2020-Annu_SCDPT1'!$M$73</definedName>
    <definedName name="SCDPT1_12ENDIN_10" localSheetId="0">'GMIC_2020-Annu_SCDPT1'!$N$75</definedName>
    <definedName name="SCDPT1_12ENDIN_11" localSheetId="0">'GMIC_2020-Annu_SCDPT1'!$O$75</definedName>
    <definedName name="SCDPT1_12ENDIN_12" localSheetId="0">'GMIC_2020-Annu_SCDPT1'!$P$75</definedName>
    <definedName name="SCDPT1_12ENDIN_13" localSheetId="0">'GMIC_2020-Annu_SCDPT1'!$Q$75</definedName>
    <definedName name="SCDPT1_12ENDIN_14" localSheetId="0">'GMIC_2020-Annu_SCDPT1'!$R$75</definedName>
    <definedName name="SCDPT1_12ENDIN_15" localSheetId="0">'GMIC_2020-Annu_SCDPT1'!$S$75</definedName>
    <definedName name="SCDPT1_12ENDIN_16" localSheetId="0">'GMIC_2020-Annu_SCDPT1'!$T$75</definedName>
    <definedName name="SCDPT1_12ENDIN_17" localSheetId="0">'GMIC_2020-Annu_SCDPT1'!$U$75</definedName>
    <definedName name="SCDPT1_12ENDIN_18" localSheetId="0">'GMIC_2020-Annu_SCDPT1'!$V$75</definedName>
    <definedName name="SCDPT1_12ENDIN_19" localSheetId="0">'GMIC_2020-Annu_SCDPT1'!$W$75</definedName>
    <definedName name="SCDPT1_12ENDIN_2" localSheetId="0">'GMIC_2020-Annu_SCDPT1'!$D$75</definedName>
    <definedName name="SCDPT1_12ENDIN_20" localSheetId="0">'GMIC_2020-Annu_SCDPT1'!$X$75</definedName>
    <definedName name="SCDPT1_12ENDIN_21" localSheetId="0">'GMIC_2020-Annu_SCDPT1'!$Y$75</definedName>
    <definedName name="SCDPT1_12ENDIN_22" localSheetId="0">'GMIC_2020-Annu_SCDPT1'!$Z$75</definedName>
    <definedName name="SCDPT1_12ENDIN_23" localSheetId="0">'GMIC_2020-Annu_SCDPT1'!$AA$75</definedName>
    <definedName name="SCDPT1_12ENDIN_24" localSheetId="0">'GMIC_2020-Annu_SCDPT1'!$AB$75</definedName>
    <definedName name="SCDPT1_12ENDIN_25" localSheetId="0">'GMIC_2020-Annu_SCDPT1'!$AC$75</definedName>
    <definedName name="SCDPT1_12ENDIN_26" localSheetId="0">'GMIC_2020-Annu_SCDPT1'!$AD$75</definedName>
    <definedName name="SCDPT1_12ENDIN_27" localSheetId="0">'GMIC_2020-Annu_SCDPT1'!$AE$75</definedName>
    <definedName name="SCDPT1_12ENDIN_28" localSheetId="0">'GMIC_2020-Annu_SCDPT1'!$AF$75</definedName>
    <definedName name="SCDPT1_12ENDIN_29" localSheetId="0">'GMIC_2020-Annu_SCDPT1'!$AG$75</definedName>
    <definedName name="SCDPT1_12ENDIN_3" localSheetId="0">'GMIC_2020-Annu_SCDPT1'!$E$75</definedName>
    <definedName name="SCDPT1_12ENDIN_30" localSheetId="0">'GMIC_2020-Annu_SCDPT1'!$AH$75</definedName>
    <definedName name="SCDPT1_12ENDIN_31" localSheetId="0">'GMIC_2020-Annu_SCDPT1'!$AI$75</definedName>
    <definedName name="SCDPT1_12ENDIN_32" localSheetId="0">'GMIC_2020-Annu_SCDPT1'!$AJ$75</definedName>
    <definedName name="SCDPT1_12ENDIN_33" localSheetId="0">'GMIC_2020-Annu_SCDPT1'!$AK$75</definedName>
    <definedName name="SCDPT1_12ENDIN_34" localSheetId="0">'GMIC_2020-Annu_SCDPT1'!$AL$75</definedName>
    <definedName name="SCDPT1_12ENDIN_35" localSheetId="0">'GMIC_2020-Annu_SCDPT1'!$AM$75</definedName>
    <definedName name="SCDPT1_12ENDIN_4" localSheetId="0">'GMIC_2020-Annu_SCDPT1'!$F$75</definedName>
    <definedName name="SCDPT1_12ENDIN_5" localSheetId="0">'GMIC_2020-Annu_SCDPT1'!$G$75</definedName>
    <definedName name="SCDPT1_12ENDIN_6.01" localSheetId="0">'GMIC_2020-Annu_SCDPT1'!$H$75</definedName>
    <definedName name="SCDPT1_12ENDIN_6.02" localSheetId="0">'GMIC_2020-Annu_SCDPT1'!$I$75</definedName>
    <definedName name="SCDPT1_12ENDIN_6.03" localSheetId="0">'GMIC_2020-Annu_SCDPT1'!$J$75</definedName>
    <definedName name="SCDPT1_12ENDIN_7" localSheetId="0">'GMIC_2020-Annu_SCDPT1'!$K$75</definedName>
    <definedName name="SCDPT1_12ENDIN_8" localSheetId="0">'GMIC_2020-Annu_SCDPT1'!$L$75</definedName>
    <definedName name="SCDPT1_12ENDIN_9" localSheetId="0">'GMIC_2020-Annu_SCDPT1'!$M$75</definedName>
    <definedName name="SCDPT1_1300000_Range" localSheetId="0">'GMIC_2020-Annu_SCDPT1'!$B$77:$AM$79</definedName>
    <definedName name="SCDPT1_1399999_10" localSheetId="0">'GMIC_2020-Annu_SCDPT1'!$N$80</definedName>
    <definedName name="SCDPT1_1399999_11" localSheetId="0">'GMIC_2020-Annu_SCDPT1'!$O$80</definedName>
    <definedName name="SCDPT1_1399999_12" localSheetId="0">'GMIC_2020-Annu_SCDPT1'!$P$80</definedName>
    <definedName name="SCDPT1_1399999_13" localSheetId="0">'GMIC_2020-Annu_SCDPT1'!$Q$80</definedName>
    <definedName name="SCDPT1_1399999_14" localSheetId="0">'GMIC_2020-Annu_SCDPT1'!$R$80</definedName>
    <definedName name="SCDPT1_1399999_15" localSheetId="0">'GMIC_2020-Annu_SCDPT1'!$S$80</definedName>
    <definedName name="SCDPT1_1399999_19" localSheetId="0">'GMIC_2020-Annu_SCDPT1'!$W$80</definedName>
    <definedName name="SCDPT1_1399999_20" localSheetId="0">'GMIC_2020-Annu_SCDPT1'!$X$80</definedName>
    <definedName name="SCDPT1_1399999_7" localSheetId="0">'GMIC_2020-Annu_SCDPT1'!$K$80</definedName>
    <definedName name="SCDPT1_1399999_9" localSheetId="0">'GMIC_2020-Annu_SCDPT1'!$M$80</definedName>
    <definedName name="SCDPT1_13BEGIN_1" localSheetId="0">'GMIC_2020-Annu_SCDPT1'!$C$77</definedName>
    <definedName name="SCDPT1_13BEGIN_10" localSheetId="0">'GMIC_2020-Annu_SCDPT1'!$N$77</definedName>
    <definedName name="SCDPT1_13BEGIN_11" localSheetId="0">'GMIC_2020-Annu_SCDPT1'!$O$77</definedName>
    <definedName name="SCDPT1_13BEGIN_12" localSheetId="0">'GMIC_2020-Annu_SCDPT1'!$P$77</definedName>
    <definedName name="SCDPT1_13BEGIN_13" localSheetId="0">'GMIC_2020-Annu_SCDPT1'!$Q$77</definedName>
    <definedName name="SCDPT1_13BEGIN_14" localSheetId="0">'GMIC_2020-Annu_SCDPT1'!$R$77</definedName>
    <definedName name="SCDPT1_13BEGIN_15" localSheetId="0">'GMIC_2020-Annu_SCDPT1'!$S$77</definedName>
    <definedName name="SCDPT1_13BEGIN_16" localSheetId="0">'GMIC_2020-Annu_SCDPT1'!$T$77</definedName>
    <definedName name="SCDPT1_13BEGIN_17" localSheetId="0">'GMIC_2020-Annu_SCDPT1'!$U$77</definedName>
    <definedName name="SCDPT1_13BEGIN_18" localSheetId="0">'GMIC_2020-Annu_SCDPT1'!$V$77</definedName>
    <definedName name="SCDPT1_13BEGIN_19" localSheetId="0">'GMIC_2020-Annu_SCDPT1'!$W$77</definedName>
    <definedName name="SCDPT1_13BEGIN_2" localSheetId="0">'GMIC_2020-Annu_SCDPT1'!$D$77</definedName>
    <definedName name="SCDPT1_13BEGIN_20" localSheetId="0">'GMIC_2020-Annu_SCDPT1'!$X$77</definedName>
    <definedName name="SCDPT1_13BEGIN_21" localSheetId="0">'GMIC_2020-Annu_SCDPT1'!$Y$77</definedName>
    <definedName name="SCDPT1_13BEGIN_22" localSheetId="0">'GMIC_2020-Annu_SCDPT1'!$Z$77</definedName>
    <definedName name="SCDPT1_13BEGIN_23" localSheetId="0">'GMIC_2020-Annu_SCDPT1'!$AA$77</definedName>
    <definedName name="SCDPT1_13BEGIN_24" localSheetId="0">'GMIC_2020-Annu_SCDPT1'!$AB$77</definedName>
    <definedName name="SCDPT1_13BEGIN_25" localSheetId="0">'GMIC_2020-Annu_SCDPT1'!$AC$77</definedName>
    <definedName name="SCDPT1_13BEGIN_26" localSheetId="0">'GMIC_2020-Annu_SCDPT1'!$AD$77</definedName>
    <definedName name="SCDPT1_13BEGIN_27" localSheetId="0">'GMIC_2020-Annu_SCDPT1'!$AE$77</definedName>
    <definedName name="SCDPT1_13BEGIN_28" localSheetId="0">'GMIC_2020-Annu_SCDPT1'!$AF$77</definedName>
    <definedName name="SCDPT1_13BEGIN_29" localSheetId="0">'GMIC_2020-Annu_SCDPT1'!$AG$77</definedName>
    <definedName name="SCDPT1_13BEGIN_3" localSheetId="0">'GMIC_2020-Annu_SCDPT1'!$E$77</definedName>
    <definedName name="SCDPT1_13BEGIN_30" localSheetId="0">'GMIC_2020-Annu_SCDPT1'!$AH$77</definedName>
    <definedName name="SCDPT1_13BEGIN_31" localSheetId="0">'GMIC_2020-Annu_SCDPT1'!$AI$77</definedName>
    <definedName name="SCDPT1_13BEGIN_32" localSheetId="0">'GMIC_2020-Annu_SCDPT1'!$AJ$77</definedName>
    <definedName name="SCDPT1_13BEGIN_33" localSheetId="0">'GMIC_2020-Annu_SCDPT1'!$AK$77</definedName>
    <definedName name="SCDPT1_13BEGIN_34" localSheetId="0">'GMIC_2020-Annu_SCDPT1'!$AL$77</definedName>
    <definedName name="SCDPT1_13BEGIN_35" localSheetId="0">'GMIC_2020-Annu_SCDPT1'!$AM$77</definedName>
    <definedName name="SCDPT1_13BEGIN_4" localSheetId="0">'GMIC_2020-Annu_SCDPT1'!$F$77</definedName>
    <definedName name="SCDPT1_13BEGIN_5" localSheetId="0">'GMIC_2020-Annu_SCDPT1'!$G$77</definedName>
    <definedName name="SCDPT1_13BEGIN_6.01" localSheetId="0">'GMIC_2020-Annu_SCDPT1'!$H$77</definedName>
    <definedName name="SCDPT1_13BEGIN_6.02" localSheetId="0">'GMIC_2020-Annu_SCDPT1'!$I$77</definedName>
    <definedName name="SCDPT1_13BEGIN_6.03" localSheetId="0">'GMIC_2020-Annu_SCDPT1'!$J$77</definedName>
    <definedName name="SCDPT1_13BEGIN_7" localSheetId="0">'GMIC_2020-Annu_SCDPT1'!$K$77</definedName>
    <definedName name="SCDPT1_13BEGIN_8" localSheetId="0">'GMIC_2020-Annu_SCDPT1'!$L$77</definedName>
    <definedName name="SCDPT1_13BEGIN_9" localSheetId="0">'GMIC_2020-Annu_SCDPT1'!$M$77</definedName>
    <definedName name="SCDPT1_13ENDIN_10" localSheetId="0">'GMIC_2020-Annu_SCDPT1'!$N$79</definedName>
    <definedName name="SCDPT1_13ENDIN_11" localSheetId="0">'GMIC_2020-Annu_SCDPT1'!$O$79</definedName>
    <definedName name="SCDPT1_13ENDIN_12" localSheetId="0">'GMIC_2020-Annu_SCDPT1'!$P$79</definedName>
    <definedName name="SCDPT1_13ENDIN_13" localSheetId="0">'GMIC_2020-Annu_SCDPT1'!$Q$79</definedName>
    <definedName name="SCDPT1_13ENDIN_14" localSheetId="0">'GMIC_2020-Annu_SCDPT1'!$R$79</definedName>
    <definedName name="SCDPT1_13ENDIN_15" localSheetId="0">'GMIC_2020-Annu_SCDPT1'!$S$79</definedName>
    <definedName name="SCDPT1_13ENDIN_16" localSheetId="0">'GMIC_2020-Annu_SCDPT1'!$T$79</definedName>
    <definedName name="SCDPT1_13ENDIN_17" localSheetId="0">'GMIC_2020-Annu_SCDPT1'!$U$79</definedName>
    <definedName name="SCDPT1_13ENDIN_18" localSheetId="0">'GMIC_2020-Annu_SCDPT1'!$V$79</definedName>
    <definedName name="SCDPT1_13ENDIN_19" localSheetId="0">'GMIC_2020-Annu_SCDPT1'!$W$79</definedName>
    <definedName name="SCDPT1_13ENDIN_2" localSheetId="0">'GMIC_2020-Annu_SCDPT1'!$D$79</definedName>
    <definedName name="SCDPT1_13ENDIN_20" localSheetId="0">'GMIC_2020-Annu_SCDPT1'!$X$79</definedName>
    <definedName name="SCDPT1_13ENDIN_21" localSheetId="0">'GMIC_2020-Annu_SCDPT1'!$Y$79</definedName>
    <definedName name="SCDPT1_13ENDIN_22" localSheetId="0">'GMIC_2020-Annu_SCDPT1'!$Z$79</definedName>
    <definedName name="SCDPT1_13ENDIN_23" localSheetId="0">'GMIC_2020-Annu_SCDPT1'!$AA$79</definedName>
    <definedName name="SCDPT1_13ENDIN_24" localSheetId="0">'GMIC_2020-Annu_SCDPT1'!$AB$79</definedName>
    <definedName name="SCDPT1_13ENDIN_25" localSheetId="0">'GMIC_2020-Annu_SCDPT1'!$AC$79</definedName>
    <definedName name="SCDPT1_13ENDIN_26" localSheetId="0">'GMIC_2020-Annu_SCDPT1'!$AD$79</definedName>
    <definedName name="SCDPT1_13ENDIN_27" localSheetId="0">'GMIC_2020-Annu_SCDPT1'!$AE$79</definedName>
    <definedName name="SCDPT1_13ENDIN_28" localSheetId="0">'GMIC_2020-Annu_SCDPT1'!$AF$79</definedName>
    <definedName name="SCDPT1_13ENDIN_29" localSheetId="0">'GMIC_2020-Annu_SCDPT1'!$AG$79</definedName>
    <definedName name="SCDPT1_13ENDIN_3" localSheetId="0">'GMIC_2020-Annu_SCDPT1'!$E$79</definedName>
    <definedName name="SCDPT1_13ENDIN_30" localSheetId="0">'GMIC_2020-Annu_SCDPT1'!$AH$79</definedName>
    <definedName name="SCDPT1_13ENDIN_31" localSheetId="0">'GMIC_2020-Annu_SCDPT1'!$AI$79</definedName>
    <definedName name="SCDPT1_13ENDIN_32" localSheetId="0">'GMIC_2020-Annu_SCDPT1'!$AJ$79</definedName>
    <definedName name="SCDPT1_13ENDIN_33" localSheetId="0">'GMIC_2020-Annu_SCDPT1'!$AK$79</definedName>
    <definedName name="SCDPT1_13ENDIN_34" localSheetId="0">'GMIC_2020-Annu_SCDPT1'!$AL$79</definedName>
    <definedName name="SCDPT1_13ENDIN_35" localSheetId="0">'GMIC_2020-Annu_SCDPT1'!$AM$79</definedName>
    <definedName name="SCDPT1_13ENDIN_4" localSheetId="0">'GMIC_2020-Annu_SCDPT1'!$F$79</definedName>
    <definedName name="SCDPT1_13ENDIN_5" localSheetId="0">'GMIC_2020-Annu_SCDPT1'!$G$79</definedName>
    <definedName name="SCDPT1_13ENDIN_6.01" localSheetId="0">'GMIC_2020-Annu_SCDPT1'!$H$79</definedName>
    <definedName name="SCDPT1_13ENDIN_6.02" localSheetId="0">'GMIC_2020-Annu_SCDPT1'!$I$79</definedName>
    <definedName name="SCDPT1_13ENDIN_6.03" localSheetId="0">'GMIC_2020-Annu_SCDPT1'!$J$79</definedName>
    <definedName name="SCDPT1_13ENDIN_7" localSheetId="0">'GMIC_2020-Annu_SCDPT1'!$K$79</definedName>
    <definedName name="SCDPT1_13ENDIN_8" localSheetId="0">'GMIC_2020-Annu_SCDPT1'!$L$79</definedName>
    <definedName name="SCDPT1_13ENDIN_9" localSheetId="0">'GMIC_2020-Annu_SCDPT1'!$M$79</definedName>
    <definedName name="SCDPT1_1400000_Range" localSheetId="0">'GMIC_2020-Annu_SCDPT1'!$B$81:$AM$83</definedName>
    <definedName name="SCDPT1_1499999_10" localSheetId="0">'GMIC_2020-Annu_SCDPT1'!$N$84</definedName>
    <definedName name="SCDPT1_1499999_11" localSheetId="0">'GMIC_2020-Annu_SCDPT1'!$O$84</definedName>
    <definedName name="SCDPT1_1499999_12" localSheetId="0">'GMIC_2020-Annu_SCDPT1'!$P$84</definedName>
    <definedName name="SCDPT1_1499999_13" localSheetId="0">'GMIC_2020-Annu_SCDPT1'!$Q$84</definedName>
    <definedName name="SCDPT1_1499999_14" localSheetId="0">'GMIC_2020-Annu_SCDPT1'!$R$84</definedName>
    <definedName name="SCDPT1_1499999_15" localSheetId="0">'GMIC_2020-Annu_SCDPT1'!$S$84</definedName>
    <definedName name="SCDPT1_1499999_19" localSheetId="0">'GMIC_2020-Annu_SCDPT1'!$W$84</definedName>
    <definedName name="SCDPT1_1499999_20" localSheetId="0">'GMIC_2020-Annu_SCDPT1'!$X$84</definedName>
    <definedName name="SCDPT1_1499999_7" localSheetId="0">'GMIC_2020-Annu_SCDPT1'!$K$84</definedName>
    <definedName name="SCDPT1_1499999_9" localSheetId="0">'GMIC_2020-Annu_SCDPT1'!$M$84</definedName>
    <definedName name="SCDPT1_14BEGIN_1" localSheetId="0">'GMIC_2020-Annu_SCDPT1'!$C$81</definedName>
    <definedName name="SCDPT1_14BEGIN_10" localSheetId="0">'GMIC_2020-Annu_SCDPT1'!$N$81</definedName>
    <definedName name="SCDPT1_14BEGIN_11" localSheetId="0">'GMIC_2020-Annu_SCDPT1'!$O$81</definedName>
    <definedName name="SCDPT1_14BEGIN_12" localSheetId="0">'GMIC_2020-Annu_SCDPT1'!$P$81</definedName>
    <definedName name="SCDPT1_14BEGIN_13" localSheetId="0">'GMIC_2020-Annu_SCDPT1'!$Q$81</definedName>
    <definedName name="SCDPT1_14BEGIN_14" localSheetId="0">'GMIC_2020-Annu_SCDPT1'!$R$81</definedName>
    <definedName name="SCDPT1_14BEGIN_15" localSheetId="0">'GMIC_2020-Annu_SCDPT1'!$S$81</definedName>
    <definedName name="SCDPT1_14BEGIN_16" localSheetId="0">'GMIC_2020-Annu_SCDPT1'!$T$81</definedName>
    <definedName name="SCDPT1_14BEGIN_17" localSheetId="0">'GMIC_2020-Annu_SCDPT1'!$U$81</definedName>
    <definedName name="SCDPT1_14BEGIN_18" localSheetId="0">'GMIC_2020-Annu_SCDPT1'!$V$81</definedName>
    <definedName name="SCDPT1_14BEGIN_19" localSheetId="0">'GMIC_2020-Annu_SCDPT1'!$W$81</definedName>
    <definedName name="SCDPT1_14BEGIN_2" localSheetId="0">'GMIC_2020-Annu_SCDPT1'!$D$81</definedName>
    <definedName name="SCDPT1_14BEGIN_20" localSheetId="0">'GMIC_2020-Annu_SCDPT1'!$X$81</definedName>
    <definedName name="SCDPT1_14BEGIN_21" localSheetId="0">'GMIC_2020-Annu_SCDPT1'!$Y$81</definedName>
    <definedName name="SCDPT1_14BEGIN_22" localSheetId="0">'GMIC_2020-Annu_SCDPT1'!$Z$81</definedName>
    <definedName name="SCDPT1_14BEGIN_23" localSheetId="0">'GMIC_2020-Annu_SCDPT1'!$AA$81</definedName>
    <definedName name="SCDPT1_14BEGIN_24" localSheetId="0">'GMIC_2020-Annu_SCDPT1'!$AB$81</definedName>
    <definedName name="SCDPT1_14BEGIN_25" localSheetId="0">'GMIC_2020-Annu_SCDPT1'!$AC$81</definedName>
    <definedName name="SCDPT1_14BEGIN_26" localSheetId="0">'GMIC_2020-Annu_SCDPT1'!$AD$81</definedName>
    <definedName name="SCDPT1_14BEGIN_27" localSheetId="0">'GMIC_2020-Annu_SCDPT1'!$AE$81</definedName>
    <definedName name="SCDPT1_14BEGIN_28" localSheetId="0">'GMIC_2020-Annu_SCDPT1'!$AF$81</definedName>
    <definedName name="SCDPT1_14BEGIN_29" localSheetId="0">'GMIC_2020-Annu_SCDPT1'!$AG$81</definedName>
    <definedName name="SCDPT1_14BEGIN_3" localSheetId="0">'GMIC_2020-Annu_SCDPT1'!$E$81</definedName>
    <definedName name="SCDPT1_14BEGIN_30" localSheetId="0">'GMIC_2020-Annu_SCDPT1'!$AH$81</definedName>
    <definedName name="SCDPT1_14BEGIN_31" localSheetId="0">'GMIC_2020-Annu_SCDPT1'!$AI$81</definedName>
    <definedName name="SCDPT1_14BEGIN_32" localSheetId="0">'GMIC_2020-Annu_SCDPT1'!$AJ$81</definedName>
    <definedName name="SCDPT1_14BEGIN_33" localSheetId="0">'GMIC_2020-Annu_SCDPT1'!$AK$81</definedName>
    <definedName name="SCDPT1_14BEGIN_34" localSheetId="0">'GMIC_2020-Annu_SCDPT1'!$AL$81</definedName>
    <definedName name="SCDPT1_14BEGIN_35" localSheetId="0">'GMIC_2020-Annu_SCDPT1'!$AM$81</definedName>
    <definedName name="SCDPT1_14BEGIN_4" localSheetId="0">'GMIC_2020-Annu_SCDPT1'!$F$81</definedName>
    <definedName name="SCDPT1_14BEGIN_5" localSheetId="0">'GMIC_2020-Annu_SCDPT1'!$G$81</definedName>
    <definedName name="SCDPT1_14BEGIN_6.01" localSheetId="0">'GMIC_2020-Annu_SCDPT1'!$H$81</definedName>
    <definedName name="SCDPT1_14BEGIN_6.02" localSheetId="0">'GMIC_2020-Annu_SCDPT1'!$I$81</definedName>
    <definedName name="SCDPT1_14BEGIN_6.03" localSheetId="0">'GMIC_2020-Annu_SCDPT1'!$J$81</definedName>
    <definedName name="SCDPT1_14BEGIN_7" localSheetId="0">'GMIC_2020-Annu_SCDPT1'!$K$81</definedName>
    <definedName name="SCDPT1_14BEGIN_8" localSheetId="0">'GMIC_2020-Annu_SCDPT1'!$L$81</definedName>
    <definedName name="SCDPT1_14BEGIN_9" localSheetId="0">'GMIC_2020-Annu_SCDPT1'!$M$81</definedName>
    <definedName name="SCDPT1_14ENDIN_10" localSheetId="0">'GMIC_2020-Annu_SCDPT1'!$N$83</definedName>
    <definedName name="SCDPT1_14ENDIN_11" localSheetId="0">'GMIC_2020-Annu_SCDPT1'!$O$83</definedName>
    <definedName name="SCDPT1_14ENDIN_12" localSheetId="0">'GMIC_2020-Annu_SCDPT1'!$P$83</definedName>
    <definedName name="SCDPT1_14ENDIN_13" localSheetId="0">'GMIC_2020-Annu_SCDPT1'!$Q$83</definedName>
    <definedName name="SCDPT1_14ENDIN_14" localSheetId="0">'GMIC_2020-Annu_SCDPT1'!$R$83</definedName>
    <definedName name="SCDPT1_14ENDIN_15" localSheetId="0">'GMIC_2020-Annu_SCDPT1'!$S$83</definedName>
    <definedName name="SCDPT1_14ENDIN_16" localSheetId="0">'GMIC_2020-Annu_SCDPT1'!$T$83</definedName>
    <definedName name="SCDPT1_14ENDIN_17" localSheetId="0">'GMIC_2020-Annu_SCDPT1'!$U$83</definedName>
    <definedName name="SCDPT1_14ENDIN_18" localSheetId="0">'GMIC_2020-Annu_SCDPT1'!$V$83</definedName>
    <definedName name="SCDPT1_14ENDIN_19" localSheetId="0">'GMIC_2020-Annu_SCDPT1'!$W$83</definedName>
    <definedName name="SCDPT1_14ENDIN_2" localSheetId="0">'GMIC_2020-Annu_SCDPT1'!$D$83</definedName>
    <definedName name="SCDPT1_14ENDIN_20" localSheetId="0">'GMIC_2020-Annu_SCDPT1'!$X$83</definedName>
    <definedName name="SCDPT1_14ENDIN_21" localSheetId="0">'GMIC_2020-Annu_SCDPT1'!$Y$83</definedName>
    <definedName name="SCDPT1_14ENDIN_22" localSheetId="0">'GMIC_2020-Annu_SCDPT1'!$Z$83</definedName>
    <definedName name="SCDPT1_14ENDIN_23" localSheetId="0">'GMIC_2020-Annu_SCDPT1'!$AA$83</definedName>
    <definedName name="SCDPT1_14ENDIN_24" localSheetId="0">'GMIC_2020-Annu_SCDPT1'!$AB$83</definedName>
    <definedName name="SCDPT1_14ENDIN_25" localSheetId="0">'GMIC_2020-Annu_SCDPT1'!$AC$83</definedName>
    <definedName name="SCDPT1_14ENDIN_26" localSheetId="0">'GMIC_2020-Annu_SCDPT1'!$AD$83</definedName>
    <definedName name="SCDPT1_14ENDIN_27" localSheetId="0">'GMIC_2020-Annu_SCDPT1'!$AE$83</definedName>
    <definedName name="SCDPT1_14ENDIN_28" localSheetId="0">'GMIC_2020-Annu_SCDPT1'!$AF$83</definedName>
    <definedName name="SCDPT1_14ENDIN_29" localSheetId="0">'GMIC_2020-Annu_SCDPT1'!$AG$83</definedName>
    <definedName name="SCDPT1_14ENDIN_3" localSheetId="0">'GMIC_2020-Annu_SCDPT1'!$E$83</definedName>
    <definedName name="SCDPT1_14ENDIN_30" localSheetId="0">'GMIC_2020-Annu_SCDPT1'!$AH$83</definedName>
    <definedName name="SCDPT1_14ENDIN_31" localSheetId="0">'GMIC_2020-Annu_SCDPT1'!$AI$83</definedName>
    <definedName name="SCDPT1_14ENDIN_32" localSheetId="0">'GMIC_2020-Annu_SCDPT1'!$AJ$83</definedName>
    <definedName name="SCDPT1_14ENDIN_33" localSheetId="0">'GMIC_2020-Annu_SCDPT1'!$AK$83</definedName>
    <definedName name="SCDPT1_14ENDIN_34" localSheetId="0">'GMIC_2020-Annu_SCDPT1'!$AL$83</definedName>
    <definedName name="SCDPT1_14ENDIN_35" localSheetId="0">'GMIC_2020-Annu_SCDPT1'!$AM$83</definedName>
    <definedName name="SCDPT1_14ENDIN_4" localSheetId="0">'GMIC_2020-Annu_SCDPT1'!$F$83</definedName>
    <definedName name="SCDPT1_14ENDIN_5" localSheetId="0">'GMIC_2020-Annu_SCDPT1'!$G$83</definedName>
    <definedName name="SCDPT1_14ENDIN_6.01" localSheetId="0">'GMIC_2020-Annu_SCDPT1'!$H$83</definedName>
    <definedName name="SCDPT1_14ENDIN_6.02" localSheetId="0">'GMIC_2020-Annu_SCDPT1'!$I$83</definedName>
    <definedName name="SCDPT1_14ENDIN_6.03" localSheetId="0">'GMIC_2020-Annu_SCDPT1'!$J$83</definedName>
    <definedName name="SCDPT1_14ENDIN_7" localSheetId="0">'GMIC_2020-Annu_SCDPT1'!$K$83</definedName>
    <definedName name="SCDPT1_14ENDIN_8" localSheetId="0">'GMIC_2020-Annu_SCDPT1'!$L$83</definedName>
    <definedName name="SCDPT1_14ENDIN_9" localSheetId="0">'GMIC_2020-Annu_SCDPT1'!$M$83</definedName>
    <definedName name="SCDPT1_1799999_10" localSheetId="0">'GMIC_2020-Annu_SCDPT1'!$N$85</definedName>
    <definedName name="SCDPT1_1799999_11" localSheetId="0">'GMIC_2020-Annu_SCDPT1'!$O$85</definedName>
    <definedName name="SCDPT1_1799999_12" localSheetId="0">'GMIC_2020-Annu_SCDPT1'!$P$85</definedName>
    <definedName name="SCDPT1_1799999_13" localSheetId="0">'GMIC_2020-Annu_SCDPT1'!$Q$85</definedName>
    <definedName name="SCDPT1_1799999_14" localSheetId="0">'GMIC_2020-Annu_SCDPT1'!$R$85</definedName>
    <definedName name="SCDPT1_1799999_15" localSheetId="0">'GMIC_2020-Annu_SCDPT1'!$S$85</definedName>
    <definedName name="SCDPT1_1799999_19" localSheetId="0">'GMIC_2020-Annu_SCDPT1'!$W$85</definedName>
    <definedName name="SCDPT1_1799999_20" localSheetId="0">'GMIC_2020-Annu_SCDPT1'!$X$85</definedName>
    <definedName name="SCDPT1_1799999_7" localSheetId="0">'GMIC_2020-Annu_SCDPT1'!$K$85</definedName>
    <definedName name="SCDPT1_1799999_9" localSheetId="0">'GMIC_2020-Annu_SCDPT1'!$M$85</definedName>
    <definedName name="SCDPT1_1800000_Range" localSheetId="0">'GMIC_2020-Annu_SCDPT1'!$B$86:$AM$98</definedName>
    <definedName name="SCDPT1_1800001_1" localSheetId="0">'GMIC_2020-Annu_SCDPT1'!$C$87</definedName>
    <definedName name="SCDPT1_1800001_10" localSheetId="0">'GMIC_2020-Annu_SCDPT1'!$N$87</definedName>
    <definedName name="SCDPT1_1800001_11" localSheetId="0">'GMIC_2020-Annu_SCDPT1'!$O$87</definedName>
    <definedName name="SCDPT1_1800001_12" localSheetId="0">'GMIC_2020-Annu_SCDPT1'!$P$87</definedName>
    <definedName name="SCDPT1_1800001_13" localSheetId="0">'GMIC_2020-Annu_SCDPT1'!$Q$87</definedName>
    <definedName name="SCDPT1_1800001_14" localSheetId="0">'GMIC_2020-Annu_SCDPT1'!$R$87</definedName>
    <definedName name="SCDPT1_1800001_15" localSheetId="0">'GMIC_2020-Annu_SCDPT1'!$S$87</definedName>
    <definedName name="SCDPT1_1800001_16" localSheetId="0">'GMIC_2020-Annu_SCDPT1'!$T$87</definedName>
    <definedName name="SCDPT1_1800001_17" localSheetId="0">'GMIC_2020-Annu_SCDPT1'!$U$87</definedName>
    <definedName name="SCDPT1_1800001_18" localSheetId="0">'GMIC_2020-Annu_SCDPT1'!$V$87</definedName>
    <definedName name="SCDPT1_1800001_19" localSheetId="0">'GMIC_2020-Annu_SCDPT1'!$W$87</definedName>
    <definedName name="SCDPT1_1800001_2" localSheetId="0">'GMIC_2020-Annu_SCDPT1'!$D$87</definedName>
    <definedName name="SCDPT1_1800001_20" localSheetId="0">'GMIC_2020-Annu_SCDPT1'!$X$87</definedName>
    <definedName name="SCDPT1_1800001_21" localSheetId="0">'GMIC_2020-Annu_SCDPT1'!$Y$87</definedName>
    <definedName name="SCDPT1_1800001_22" localSheetId="0">'GMIC_2020-Annu_SCDPT1'!$Z$87</definedName>
    <definedName name="SCDPT1_1800001_23" localSheetId="0">'GMIC_2020-Annu_SCDPT1'!$AA$87</definedName>
    <definedName name="SCDPT1_1800001_24" localSheetId="0">'GMIC_2020-Annu_SCDPT1'!$AB$87</definedName>
    <definedName name="SCDPT1_1800001_25" localSheetId="0">'GMIC_2020-Annu_SCDPT1'!$AC$87</definedName>
    <definedName name="SCDPT1_1800001_27" localSheetId="0">'GMIC_2020-Annu_SCDPT1'!$AE$87</definedName>
    <definedName name="SCDPT1_1800001_28" localSheetId="0">'GMIC_2020-Annu_SCDPT1'!$AF$87</definedName>
    <definedName name="SCDPT1_1800001_29" localSheetId="0">'GMIC_2020-Annu_SCDPT1'!$AG$87</definedName>
    <definedName name="SCDPT1_1800001_3" localSheetId="0">'GMIC_2020-Annu_SCDPT1'!$E$87</definedName>
    <definedName name="SCDPT1_1800001_30" localSheetId="0">'GMIC_2020-Annu_SCDPT1'!$AH$87</definedName>
    <definedName name="SCDPT1_1800001_31" localSheetId="0">'GMIC_2020-Annu_SCDPT1'!$AI$87</definedName>
    <definedName name="SCDPT1_1800001_32" localSheetId="0">'GMIC_2020-Annu_SCDPT1'!$AJ$87</definedName>
    <definedName name="SCDPT1_1800001_33" localSheetId="0">'GMIC_2020-Annu_SCDPT1'!$AK$87</definedName>
    <definedName name="SCDPT1_1800001_34" localSheetId="0">'GMIC_2020-Annu_SCDPT1'!$AL$87</definedName>
    <definedName name="SCDPT1_1800001_35" localSheetId="0">'GMIC_2020-Annu_SCDPT1'!$AM$87</definedName>
    <definedName name="SCDPT1_1800001_4" localSheetId="0">'GMIC_2020-Annu_SCDPT1'!$F$87</definedName>
    <definedName name="SCDPT1_1800001_5" localSheetId="0">'GMIC_2020-Annu_SCDPT1'!$G$87</definedName>
    <definedName name="SCDPT1_1800001_6.01" localSheetId="0">'GMIC_2020-Annu_SCDPT1'!$H$87</definedName>
    <definedName name="SCDPT1_1800001_6.02" localSheetId="0">'GMIC_2020-Annu_SCDPT1'!$I$87</definedName>
    <definedName name="SCDPT1_1800001_6.03" localSheetId="0">'GMIC_2020-Annu_SCDPT1'!$J$87</definedName>
    <definedName name="SCDPT1_1800001_7" localSheetId="0">'GMIC_2020-Annu_SCDPT1'!$K$87</definedName>
    <definedName name="SCDPT1_1800001_8" localSheetId="0">'GMIC_2020-Annu_SCDPT1'!$L$87</definedName>
    <definedName name="SCDPT1_1800001_9" localSheetId="0">'GMIC_2020-Annu_SCDPT1'!$M$87</definedName>
    <definedName name="SCDPT1_1899999_10" localSheetId="0">'GMIC_2020-Annu_SCDPT1'!$N$99</definedName>
    <definedName name="SCDPT1_1899999_11" localSheetId="0">'GMIC_2020-Annu_SCDPT1'!$O$99</definedName>
    <definedName name="SCDPT1_1899999_12" localSheetId="0">'GMIC_2020-Annu_SCDPT1'!$P$99</definedName>
    <definedName name="SCDPT1_1899999_13" localSheetId="0">'GMIC_2020-Annu_SCDPT1'!$Q$99</definedName>
    <definedName name="SCDPT1_1899999_14" localSheetId="0">'GMIC_2020-Annu_SCDPT1'!$R$99</definedName>
    <definedName name="SCDPT1_1899999_15" localSheetId="0">'GMIC_2020-Annu_SCDPT1'!$S$99</definedName>
    <definedName name="SCDPT1_1899999_19" localSheetId="0">'GMIC_2020-Annu_SCDPT1'!$W$99</definedName>
    <definedName name="SCDPT1_1899999_20" localSheetId="0">'GMIC_2020-Annu_SCDPT1'!$X$99</definedName>
    <definedName name="SCDPT1_1899999_7" localSheetId="0">'GMIC_2020-Annu_SCDPT1'!$K$99</definedName>
    <definedName name="SCDPT1_1899999_9" localSheetId="0">'GMIC_2020-Annu_SCDPT1'!$M$99</definedName>
    <definedName name="SCDPT1_18BEGIN_1" localSheetId="0">'GMIC_2020-Annu_SCDPT1'!$C$86</definedName>
    <definedName name="SCDPT1_18BEGIN_10" localSheetId="0">'GMIC_2020-Annu_SCDPT1'!$N$86</definedName>
    <definedName name="SCDPT1_18BEGIN_11" localSheetId="0">'GMIC_2020-Annu_SCDPT1'!$O$86</definedName>
    <definedName name="SCDPT1_18BEGIN_12" localSheetId="0">'GMIC_2020-Annu_SCDPT1'!$P$86</definedName>
    <definedName name="SCDPT1_18BEGIN_13" localSheetId="0">'GMIC_2020-Annu_SCDPT1'!$Q$86</definedName>
    <definedName name="SCDPT1_18BEGIN_14" localSheetId="0">'GMIC_2020-Annu_SCDPT1'!$R$86</definedName>
    <definedName name="SCDPT1_18BEGIN_15" localSheetId="0">'GMIC_2020-Annu_SCDPT1'!$S$86</definedName>
    <definedName name="SCDPT1_18BEGIN_16" localSheetId="0">'GMIC_2020-Annu_SCDPT1'!$T$86</definedName>
    <definedName name="SCDPT1_18BEGIN_17" localSheetId="0">'GMIC_2020-Annu_SCDPT1'!$U$86</definedName>
    <definedName name="SCDPT1_18BEGIN_18" localSheetId="0">'GMIC_2020-Annu_SCDPT1'!$V$86</definedName>
    <definedName name="SCDPT1_18BEGIN_19" localSheetId="0">'GMIC_2020-Annu_SCDPT1'!$W$86</definedName>
    <definedName name="SCDPT1_18BEGIN_2" localSheetId="0">'GMIC_2020-Annu_SCDPT1'!$D$86</definedName>
    <definedName name="SCDPT1_18BEGIN_20" localSheetId="0">'GMIC_2020-Annu_SCDPT1'!$X$86</definedName>
    <definedName name="SCDPT1_18BEGIN_21" localSheetId="0">'GMIC_2020-Annu_SCDPT1'!$Y$86</definedName>
    <definedName name="SCDPT1_18BEGIN_22" localSheetId="0">'GMIC_2020-Annu_SCDPT1'!$Z$86</definedName>
    <definedName name="SCDPT1_18BEGIN_23" localSheetId="0">'GMIC_2020-Annu_SCDPT1'!$AA$86</definedName>
    <definedName name="SCDPT1_18BEGIN_24" localSheetId="0">'GMIC_2020-Annu_SCDPT1'!$AB$86</definedName>
    <definedName name="SCDPT1_18BEGIN_25" localSheetId="0">'GMIC_2020-Annu_SCDPT1'!$AC$86</definedName>
    <definedName name="SCDPT1_18BEGIN_26" localSheetId="0">'GMIC_2020-Annu_SCDPT1'!$AD$86</definedName>
    <definedName name="SCDPT1_18BEGIN_27" localSheetId="0">'GMIC_2020-Annu_SCDPT1'!$AE$86</definedName>
    <definedName name="SCDPT1_18BEGIN_28" localSheetId="0">'GMIC_2020-Annu_SCDPT1'!$AF$86</definedName>
    <definedName name="SCDPT1_18BEGIN_29" localSheetId="0">'GMIC_2020-Annu_SCDPT1'!$AG$86</definedName>
    <definedName name="SCDPT1_18BEGIN_3" localSheetId="0">'GMIC_2020-Annu_SCDPT1'!$E$86</definedName>
    <definedName name="SCDPT1_18BEGIN_30" localSheetId="0">'GMIC_2020-Annu_SCDPT1'!$AH$86</definedName>
    <definedName name="SCDPT1_18BEGIN_31" localSheetId="0">'GMIC_2020-Annu_SCDPT1'!$AI$86</definedName>
    <definedName name="SCDPT1_18BEGIN_32" localSheetId="0">'GMIC_2020-Annu_SCDPT1'!$AJ$86</definedName>
    <definedName name="SCDPT1_18BEGIN_33" localSheetId="0">'GMIC_2020-Annu_SCDPT1'!$AK$86</definedName>
    <definedName name="SCDPT1_18BEGIN_34" localSheetId="0">'GMIC_2020-Annu_SCDPT1'!$AL$86</definedName>
    <definedName name="SCDPT1_18BEGIN_35" localSheetId="0">'GMIC_2020-Annu_SCDPT1'!$AM$86</definedName>
    <definedName name="SCDPT1_18BEGIN_4" localSheetId="0">'GMIC_2020-Annu_SCDPT1'!$F$86</definedName>
    <definedName name="SCDPT1_18BEGIN_5" localSheetId="0">'GMIC_2020-Annu_SCDPT1'!$G$86</definedName>
    <definedName name="SCDPT1_18BEGIN_6.01" localSheetId="0">'GMIC_2020-Annu_SCDPT1'!$H$86</definedName>
    <definedName name="SCDPT1_18BEGIN_6.02" localSheetId="0">'GMIC_2020-Annu_SCDPT1'!$I$86</definedName>
    <definedName name="SCDPT1_18BEGIN_6.03" localSheetId="0">'GMIC_2020-Annu_SCDPT1'!$J$86</definedName>
    <definedName name="SCDPT1_18BEGIN_7" localSheetId="0">'GMIC_2020-Annu_SCDPT1'!$K$86</definedName>
    <definedName name="SCDPT1_18BEGIN_8" localSheetId="0">'GMIC_2020-Annu_SCDPT1'!$L$86</definedName>
    <definedName name="SCDPT1_18BEGIN_9" localSheetId="0">'GMIC_2020-Annu_SCDPT1'!$M$86</definedName>
    <definedName name="SCDPT1_18ENDIN_10" localSheetId="0">'GMIC_2020-Annu_SCDPT1'!$N$98</definedName>
    <definedName name="SCDPT1_18ENDIN_11" localSheetId="0">'GMIC_2020-Annu_SCDPT1'!$O$98</definedName>
    <definedName name="SCDPT1_18ENDIN_12" localSheetId="0">'GMIC_2020-Annu_SCDPT1'!$P$98</definedName>
    <definedName name="SCDPT1_18ENDIN_13" localSheetId="0">'GMIC_2020-Annu_SCDPT1'!$Q$98</definedName>
    <definedName name="SCDPT1_18ENDIN_14" localSheetId="0">'GMIC_2020-Annu_SCDPT1'!$R$98</definedName>
    <definedName name="SCDPT1_18ENDIN_15" localSheetId="0">'GMIC_2020-Annu_SCDPT1'!$S$98</definedName>
    <definedName name="SCDPT1_18ENDIN_16" localSheetId="0">'GMIC_2020-Annu_SCDPT1'!$T$98</definedName>
    <definedName name="SCDPT1_18ENDIN_17" localSheetId="0">'GMIC_2020-Annu_SCDPT1'!$U$98</definedName>
    <definedName name="SCDPT1_18ENDIN_18" localSheetId="0">'GMIC_2020-Annu_SCDPT1'!$V$98</definedName>
    <definedName name="SCDPT1_18ENDIN_19" localSheetId="0">'GMIC_2020-Annu_SCDPT1'!$W$98</definedName>
    <definedName name="SCDPT1_18ENDIN_2" localSheetId="0">'GMIC_2020-Annu_SCDPT1'!$D$98</definedName>
    <definedName name="SCDPT1_18ENDIN_20" localSheetId="0">'GMIC_2020-Annu_SCDPT1'!$X$98</definedName>
    <definedName name="SCDPT1_18ENDIN_21" localSheetId="0">'GMIC_2020-Annu_SCDPT1'!$Y$98</definedName>
    <definedName name="SCDPT1_18ENDIN_22" localSheetId="0">'GMIC_2020-Annu_SCDPT1'!$Z$98</definedName>
    <definedName name="SCDPT1_18ENDIN_23" localSheetId="0">'GMIC_2020-Annu_SCDPT1'!$AA$98</definedName>
    <definedName name="SCDPT1_18ENDIN_24" localSheetId="0">'GMIC_2020-Annu_SCDPT1'!$AB$98</definedName>
    <definedName name="SCDPT1_18ENDIN_25" localSheetId="0">'GMIC_2020-Annu_SCDPT1'!$AC$98</definedName>
    <definedName name="SCDPT1_18ENDIN_26" localSheetId="0">'GMIC_2020-Annu_SCDPT1'!$AD$98</definedName>
    <definedName name="SCDPT1_18ENDIN_27" localSheetId="0">'GMIC_2020-Annu_SCDPT1'!$AE$98</definedName>
    <definedName name="SCDPT1_18ENDIN_28" localSheetId="0">'GMIC_2020-Annu_SCDPT1'!$AF$98</definedName>
    <definedName name="SCDPT1_18ENDIN_29" localSheetId="0">'GMIC_2020-Annu_SCDPT1'!$AG$98</definedName>
    <definedName name="SCDPT1_18ENDIN_3" localSheetId="0">'GMIC_2020-Annu_SCDPT1'!$E$98</definedName>
    <definedName name="SCDPT1_18ENDIN_30" localSheetId="0">'GMIC_2020-Annu_SCDPT1'!$AH$98</definedName>
    <definedName name="SCDPT1_18ENDIN_31" localSheetId="0">'GMIC_2020-Annu_SCDPT1'!$AI$98</definedName>
    <definedName name="SCDPT1_18ENDIN_32" localSheetId="0">'GMIC_2020-Annu_SCDPT1'!$AJ$98</definedName>
    <definedName name="SCDPT1_18ENDIN_33" localSheetId="0">'GMIC_2020-Annu_SCDPT1'!$AK$98</definedName>
    <definedName name="SCDPT1_18ENDIN_34" localSheetId="0">'GMIC_2020-Annu_SCDPT1'!$AL$98</definedName>
    <definedName name="SCDPT1_18ENDIN_35" localSheetId="0">'GMIC_2020-Annu_SCDPT1'!$AM$98</definedName>
    <definedName name="SCDPT1_18ENDIN_4" localSheetId="0">'GMIC_2020-Annu_SCDPT1'!$F$98</definedName>
    <definedName name="SCDPT1_18ENDIN_5" localSheetId="0">'GMIC_2020-Annu_SCDPT1'!$G$98</definedName>
    <definedName name="SCDPT1_18ENDIN_6.01" localSheetId="0">'GMIC_2020-Annu_SCDPT1'!$H$98</definedName>
    <definedName name="SCDPT1_18ENDIN_6.02" localSheetId="0">'GMIC_2020-Annu_SCDPT1'!$I$98</definedName>
    <definedName name="SCDPT1_18ENDIN_6.03" localSheetId="0">'GMIC_2020-Annu_SCDPT1'!$J$98</definedName>
    <definedName name="SCDPT1_18ENDIN_7" localSheetId="0">'GMIC_2020-Annu_SCDPT1'!$K$98</definedName>
    <definedName name="SCDPT1_18ENDIN_8" localSheetId="0">'GMIC_2020-Annu_SCDPT1'!$L$98</definedName>
    <definedName name="SCDPT1_18ENDIN_9" localSheetId="0">'GMIC_2020-Annu_SCDPT1'!$M$98</definedName>
    <definedName name="SCDPT1_1900000_Range" localSheetId="0">'GMIC_2020-Annu_SCDPT1'!$B$100:$AM$102</definedName>
    <definedName name="SCDPT1_1999999_10" localSheetId="0">'GMIC_2020-Annu_SCDPT1'!$N$103</definedName>
    <definedName name="SCDPT1_1999999_11" localSheetId="0">'GMIC_2020-Annu_SCDPT1'!$O$103</definedName>
    <definedName name="SCDPT1_1999999_12" localSheetId="0">'GMIC_2020-Annu_SCDPT1'!$P$103</definedName>
    <definedName name="SCDPT1_1999999_13" localSheetId="0">'GMIC_2020-Annu_SCDPT1'!$Q$103</definedName>
    <definedName name="SCDPT1_1999999_14" localSheetId="0">'GMIC_2020-Annu_SCDPT1'!$R$103</definedName>
    <definedName name="SCDPT1_1999999_15" localSheetId="0">'GMIC_2020-Annu_SCDPT1'!$S$103</definedName>
    <definedName name="SCDPT1_1999999_19" localSheetId="0">'GMIC_2020-Annu_SCDPT1'!$W$103</definedName>
    <definedName name="SCDPT1_1999999_20" localSheetId="0">'GMIC_2020-Annu_SCDPT1'!$X$103</definedName>
    <definedName name="SCDPT1_1999999_7" localSheetId="0">'GMIC_2020-Annu_SCDPT1'!$K$103</definedName>
    <definedName name="SCDPT1_1999999_9" localSheetId="0">'GMIC_2020-Annu_SCDPT1'!$M$103</definedName>
    <definedName name="SCDPT1_19BEGIN_1" localSheetId="0">'GMIC_2020-Annu_SCDPT1'!$C$100</definedName>
    <definedName name="SCDPT1_19BEGIN_10" localSheetId="0">'GMIC_2020-Annu_SCDPT1'!$N$100</definedName>
    <definedName name="SCDPT1_19BEGIN_11" localSheetId="0">'GMIC_2020-Annu_SCDPT1'!$O$100</definedName>
    <definedName name="SCDPT1_19BEGIN_12" localSheetId="0">'GMIC_2020-Annu_SCDPT1'!$P$100</definedName>
    <definedName name="SCDPT1_19BEGIN_13" localSheetId="0">'GMIC_2020-Annu_SCDPT1'!$Q$100</definedName>
    <definedName name="SCDPT1_19BEGIN_14" localSheetId="0">'GMIC_2020-Annu_SCDPT1'!$R$100</definedName>
    <definedName name="SCDPT1_19BEGIN_15" localSheetId="0">'GMIC_2020-Annu_SCDPT1'!$S$100</definedName>
    <definedName name="SCDPT1_19BEGIN_16" localSheetId="0">'GMIC_2020-Annu_SCDPT1'!$T$100</definedName>
    <definedName name="SCDPT1_19BEGIN_17" localSheetId="0">'GMIC_2020-Annu_SCDPT1'!$U$100</definedName>
    <definedName name="SCDPT1_19BEGIN_18" localSheetId="0">'GMIC_2020-Annu_SCDPT1'!$V$100</definedName>
    <definedName name="SCDPT1_19BEGIN_19" localSheetId="0">'GMIC_2020-Annu_SCDPT1'!$W$100</definedName>
    <definedName name="SCDPT1_19BEGIN_2" localSheetId="0">'GMIC_2020-Annu_SCDPT1'!$D$100</definedName>
    <definedName name="SCDPT1_19BEGIN_20" localSheetId="0">'GMIC_2020-Annu_SCDPT1'!$X$100</definedName>
    <definedName name="SCDPT1_19BEGIN_21" localSheetId="0">'GMIC_2020-Annu_SCDPT1'!$Y$100</definedName>
    <definedName name="SCDPT1_19BEGIN_22" localSheetId="0">'GMIC_2020-Annu_SCDPT1'!$Z$100</definedName>
    <definedName name="SCDPT1_19BEGIN_23" localSheetId="0">'GMIC_2020-Annu_SCDPT1'!$AA$100</definedName>
    <definedName name="SCDPT1_19BEGIN_24" localSheetId="0">'GMIC_2020-Annu_SCDPT1'!$AB$100</definedName>
    <definedName name="SCDPT1_19BEGIN_25" localSheetId="0">'GMIC_2020-Annu_SCDPT1'!$AC$100</definedName>
    <definedName name="SCDPT1_19BEGIN_26" localSheetId="0">'GMIC_2020-Annu_SCDPT1'!$AD$100</definedName>
    <definedName name="SCDPT1_19BEGIN_27" localSheetId="0">'GMIC_2020-Annu_SCDPT1'!$AE$100</definedName>
    <definedName name="SCDPT1_19BEGIN_28" localSheetId="0">'GMIC_2020-Annu_SCDPT1'!$AF$100</definedName>
    <definedName name="SCDPT1_19BEGIN_29" localSheetId="0">'GMIC_2020-Annu_SCDPT1'!$AG$100</definedName>
    <definedName name="SCDPT1_19BEGIN_3" localSheetId="0">'GMIC_2020-Annu_SCDPT1'!$E$100</definedName>
    <definedName name="SCDPT1_19BEGIN_30" localSheetId="0">'GMIC_2020-Annu_SCDPT1'!$AH$100</definedName>
    <definedName name="SCDPT1_19BEGIN_31" localSheetId="0">'GMIC_2020-Annu_SCDPT1'!$AI$100</definedName>
    <definedName name="SCDPT1_19BEGIN_32" localSheetId="0">'GMIC_2020-Annu_SCDPT1'!$AJ$100</definedName>
    <definedName name="SCDPT1_19BEGIN_33" localSheetId="0">'GMIC_2020-Annu_SCDPT1'!$AK$100</definedName>
    <definedName name="SCDPT1_19BEGIN_34" localSheetId="0">'GMIC_2020-Annu_SCDPT1'!$AL$100</definedName>
    <definedName name="SCDPT1_19BEGIN_35" localSheetId="0">'GMIC_2020-Annu_SCDPT1'!$AM$100</definedName>
    <definedName name="SCDPT1_19BEGIN_4" localSheetId="0">'GMIC_2020-Annu_SCDPT1'!$F$100</definedName>
    <definedName name="SCDPT1_19BEGIN_5" localSheetId="0">'GMIC_2020-Annu_SCDPT1'!$G$100</definedName>
    <definedName name="SCDPT1_19BEGIN_6.01" localSheetId="0">'GMIC_2020-Annu_SCDPT1'!$H$100</definedName>
    <definedName name="SCDPT1_19BEGIN_6.02" localSheetId="0">'GMIC_2020-Annu_SCDPT1'!$I$100</definedName>
    <definedName name="SCDPT1_19BEGIN_6.03" localSheetId="0">'GMIC_2020-Annu_SCDPT1'!$J$100</definedName>
    <definedName name="SCDPT1_19BEGIN_7" localSheetId="0">'GMIC_2020-Annu_SCDPT1'!$K$100</definedName>
    <definedName name="SCDPT1_19BEGIN_8" localSheetId="0">'GMIC_2020-Annu_SCDPT1'!$L$100</definedName>
    <definedName name="SCDPT1_19BEGIN_9" localSheetId="0">'GMIC_2020-Annu_SCDPT1'!$M$100</definedName>
    <definedName name="SCDPT1_19ENDIN_10" localSheetId="0">'GMIC_2020-Annu_SCDPT1'!$N$102</definedName>
    <definedName name="SCDPT1_19ENDIN_11" localSheetId="0">'GMIC_2020-Annu_SCDPT1'!$O$102</definedName>
    <definedName name="SCDPT1_19ENDIN_12" localSheetId="0">'GMIC_2020-Annu_SCDPT1'!$P$102</definedName>
    <definedName name="SCDPT1_19ENDIN_13" localSheetId="0">'GMIC_2020-Annu_SCDPT1'!$Q$102</definedName>
    <definedName name="SCDPT1_19ENDIN_14" localSheetId="0">'GMIC_2020-Annu_SCDPT1'!$R$102</definedName>
    <definedName name="SCDPT1_19ENDIN_15" localSheetId="0">'GMIC_2020-Annu_SCDPT1'!$S$102</definedName>
    <definedName name="SCDPT1_19ENDIN_16" localSheetId="0">'GMIC_2020-Annu_SCDPT1'!$T$102</definedName>
    <definedName name="SCDPT1_19ENDIN_17" localSheetId="0">'GMIC_2020-Annu_SCDPT1'!$U$102</definedName>
    <definedName name="SCDPT1_19ENDIN_18" localSheetId="0">'GMIC_2020-Annu_SCDPT1'!$V$102</definedName>
    <definedName name="SCDPT1_19ENDIN_19" localSheetId="0">'GMIC_2020-Annu_SCDPT1'!$W$102</definedName>
    <definedName name="SCDPT1_19ENDIN_2" localSheetId="0">'GMIC_2020-Annu_SCDPT1'!$D$102</definedName>
    <definedName name="SCDPT1_19ENDIN_20" localSheetId="0">'GMIC_2020-Annu_SCDPT1'!$X$102</definedName>
    <definedName name="SCDPT1_19ENDIN_21" localSheetId="0">'GMIC_2020-Annu_SCDPT1'!$Y$102</definedName>
    <definedName name="SCDPT1_19ENDIN_22" localSheetId="0">'GMIC_2020-Annu_SCDPT1'!$Z$102</definedName>
    <definedName name="SCDPT1_19ENDIN_23" localSheetId="0">'GMIC_2020-Annu_SCDPT1'!$AA$102</definedName>
    <definedName name="SCDPT1_19ENDIN_24" localSheetId="0">'GMIC_2020-Annu_SCDPT1'!$AB$102</definedName>
    <definedName name="SCDPT1_19ENDIN_25" localSheetId="0">'GMIC_2020-Annu_SCDPT1'!$AC$102</definedName>
    <definedName name="SCDPT1_19ENDIN_26" localSheetId="0">'GMIC_2020-Annu_SCDPT1'!$AD$102</definedName>
    <definedName name="SCDPT1_19ENDIN_27" localSheetId="0">'GMIC_2020-Annu_SCDPT1'!$AE$102</definedName>
    <definedName name="SCDPT1_19ENDIN_28" localSheetId="0">'GMIC_2020-Annu_SCDPT1'!$AF$102</definedName>
    <definedName name="SCDPT1_19ENDIN_29" localSheetId="0">'GMIC_2020-Annu_SCDPT1'!$AG$102</definedName>
    <definedName name="SCDPT1_19ENDIN_3" localSheetId="0">'GMIC_2020-Annu_SCDPT1'!$E$102</definedName>
    <definedName name="SCDPT1_19ENDIN_30" localSheetId="0">'GMIC_2020-Annu_SCDPT1'!$AH$102</definedName>
    <definedName name="SCDPT1_19ENDIN_31" localSheetId="0">'GMIC_2020-Annu_SCDPT1'!$AI$102</definedName>
    <definedName name="SCDPT1_19ENDIN_32" localSheetId="0">'GMIC_2020-Annu_SCDPT1'!$AJ$102</definedName>
    <definedName name="SCDPT1_19ENDIN_33" localSheetId="0">'GMIC_2020-Annu_SCDPT1'!$AK$102</definedName>
    <definedName name="SCDPT1_19ENDIN_34" localSheetId="0">'GMIC_2020-Annu_SCDPT1'!$AL$102</definedName>
    <definedName name="SCDPT1_19ENDIN_35" localSheetId="0">'GMIC_2020-Annu_SCDPT1'!$AM$102</definedName>
    <definedName name="SCDPT1_19ENDIN_4" localSheetId="0">'GMIC_2020-Annu_SCDPT1'!$F$102</definedName>
    <definedName name="SCDPT1_19ENDIN_5" localSheetId="0">'GMIC_2020-Annu_SCDPT1'!$G$102</definedName>
    <definedName name="SCDPT1_19ENDIN_6.01" localSheetId="0">'GMIC_2020-Annu_SCDPT1'!$H$102</definedName>
    <definedName name="SCDPT1_19ENDIN_6.02" localSheetId="0">'GMIC_2020-Annu_SCDPT1'!$I$102</definedName>
    <definedName name="SCDPT1_19ENDIN_6.03" localSheetId="0">'GMIC_2020-Annu_SCDPT1'!$J$102</definedName>
    <definedName name="SCDPT1_19ENDIN_7" localSheetId="0">'GMIC_2020-Annu_SCDPT1'!$K$102</definedName>
    <definedName name="SCDPT1_19ENDIN_8" localSheetId="0">'GMIC_2020-Annu_SCDPT1'!$L$102</definedName>
    <definedName name="SCDPT1_19ENDIN_9" localSheetId="0">'GMIC_2020-Annu_SCDPT1'!$M$102</definedName>
    <definedName name="SCDPT1_2000000_Range" localSheetId="0">'GMIC_2020-Annu_SCDPT1'!$B$104:$AM$106</definedName>
    <definedName name="SCDPT1_2099999_10" localSheetId="0">'GMIC_2020-Annu_SCDPT1'!$N$107</definedName>
    <definedName name="SCDPT1_2099999_11" localSheetId="0">'GMIC_2020-Annu_SCDPT1'!$O$107</definedName>
    <definedName name="SCDPT1_2099999_12" localSheetId="0">'GMIC_2020-Annu_SCDPT1'!$P$107</definedName>
    <definedName name="SCDPT1_2099999_13" localSheetId="0">'GMIC_2020-Annu_SCDPT1'!$Q$107</definedName>
    <definedName name="SCDPT1_2099999_14" localSheetId="0">'GMIC_2020-Annu_SCDPT1'!$R$107</definedName>
    <definedName name="SCDPT1_2099999_15" localSheetId="0">'GMIC_2020-Annu_SCDPT1'!$S$107</definedName>
    <definedName name="SCDPT1_2099999_19" localSheetId="0">'GMIC_2020-Annu_SCDPT1'!$W$107</definedName>
    <definedName name="SCDPT1_2099999_20" localSheetId="0">'GMIC_2020-Annu_SCDPT1'!$X$107</definedName>
    <definedName name="SCDPT1_2099999_7" localSheetId="0">'GMIC_2020-Annu_SCDPT1'!$K$107</definedName>
    <definedName name="SCDPT1_2099999_9" localSheetId="0">'GMIC_2020-Annu_SCDPT1'!$M$107</definedName>
    <definedName name="SCDPT1_20BEGIN_1" localSheetId="0">'GMIC_2020-Annu_SCDPT1'!$C$104</definedName>
    <definedName name="SCDPT1_20BEGIN_10" localSheetId="0">'GMIC_2020-Annu_SCDPT1'!$N$104</definedName>
    <definedName name="SCDPT1_20BEGIN_11" localSheetId="0">'GMIC_2020-Annu_SCDPT1'!$O$104</definedName>
    <definedName name="SCDPT1_20BEGIN_12" localSheetId="0">'GMIC_2020-Annu_SCDPT1'!$P$104</definedName>
    <definedName name="SCDPT1_20BEGIN_13" localSheetId="0">'GMIC_2020-Annu_SCDPT1'!$Q$104</definedName>
    <definedName name="SCDPT1_20BEGIN_14" localSheetId="0">'GMIC_2020-Annu_SCDPT1'!$R$104</definedName>
    <definedName name="SCDPT1_20BEGIN_15" localSheetId="0">'GMIC_2020-Annu_SCDPT1'!$S$104</definedName>
    <definedName name="SCDPT1_20BEGIN_16" localSheetId="0">'GMIC_2020-Annu_SCDPT1'!$T$104</definedName>
    <definedName name="SCDPT1_20BEGIN_17" localSheetId="0">'GMIC_2020-Annu_SCDPT1'!$U$104</definedName>
    <definedName name="SCDPT1_20BEGIN_18" localSheetId="0">'GMIC_2020-Annu_SCDPT1'!$V$104</definedName>
    <definedName name="SCDPT1_20BEGIN_19" localSheetId="0">'GMIC_2020-Annu_SCDPT1'!$W$104</definedName>
    <definedName name="SCDPT1_20BEGIN_2" localSheetId="0">'GMIC_2020-Annu_SCDPT1'!$D$104</definedName>
    <definedName name="SCDPT1_20BEGIN_20" localSheetId="0">'GMIC_2020-Annu_SCDPT1'!$X$104</definedName>
    <definedName name="SCDPT1_20BEGIN_21" localSheetId="0">'GMIC_2020-Annu_SCDPT1'!$Y$104</definedName>
    <definedName name="SCDPT1_20BEGIN_22" localSheetId="0">'GMIC_2020-Annu_SCDPT1'!$Z$104</definedName>
    <definedName name="SCDPT1_20BEGIN_23" localSheetId="0">'GMIC_2020-Annu_SCDPT1'!$AA$104</definedName>
    <definedName name="SCDPT1_20BEGIN_24" localSheetId="0">'GMIC_2020-Annu_SCDPT1'!$AB$104</definedName>
    <definedName name="SCDPT1_20BEGIN_25" localSheetId="0">'GMIC_2020-Annu_SCDPT1'!$AC$104</definedName>
    <definedName name="SCDPT1_20BEGIN_26" localSheetId="0">'GMIC_2020-Annu_SCDPT1'!$AD$104</definedName>
    <definedName name="SCDPT1_20BEGIN_27" localSheetId="0">'GMIC_2020-Annu_SCDPT1'!$AE$104</definedName>
    <definedName name="SCDPT1_20BEGIN_28" localSheetId="0">'GMIC_2020-Annu_SCDPT1'!$AF$104</definedName>
    <definedName name="SCDPT1_20BEGIN_29" localSheetId="0">'GMIC_2020-Annu_SCDPT1'!$AG$104</definedName>
    <definedName name="SCDPT1_20BEGIN_3" localSheetId="0">'GMIC_2020-Annu_SCDPT1'!$E$104</definedName>
    <definedName name="SCDPT1_20BEGIN_30" localSheetId="0">'GMIC_2020-Annu_SCDPT1'!$AH$104</definedName>
    <definedName name="SCDPT1_20BEGIN_31" localSheetId="0">'GMIC_2020-Annu_SCDPT1'!$AI$104</definedName>
    <definedName name="SCDPT1_20BEGIN_32" localSheetId="0">'GMIC_2020-Annu_SCDPT1'!$AJ$104</definedName>
    <definedName name="SCDPT1_20BEGIN_33" localSheetId="0">'GMIC_2020-Annu_SCDPT1'!$AK$104</definedName>
    <definedName name="SCDPT1_20BEGIN_34" localSheetId="0">'GMIC_2020-Annu_SCDPT1'!$AL$104</definedName>
    <definedName name="SCDPT1_20BEGIN_35" localSheetId="0">'GMIC_2020-Annu_SCDPT1'!$AM$104</definedName>
    <definedName name="SCDPT1_20BEGIN_4" localSheetId="0">'GMIC_2020-Annu_SCDPT1'!$F$104</definedName>
    <definedName name="SCDPT1_20BEGIN_5" localSheetId="0">'GMIC_2020-Annu_SCDPT1'!$G$104</definedName>
    <definedName name="SCDPT1_20BEGIN_6.01" localSheetId="0">'GMIC_2020-Annu_SCDPT1'!$H$104</definedName>
    <definedName name="SCDPT1_20BEGIN_6.02" localSheetId="0">'GMIC_2020-Annu_SCDPT1'!$I$104</definedName>
    <definedName name="SCDPT1_20BEGIN_6.03" localSheetId="0">'GMIC_2020-Annu_SCDPT1'!$J$104</definedName>
    <definedName name="SCDPT1_20BEGIN_7" localSheetId="0">'GMIC_2020-Annu_SCDPT1'!$K$104</definedName>
    <definedName name="SCDPT1_20BEGIN_8" localSheetId="0">'GMIC_2020-Annu_SCDPT1'!$L$104</definedName>
    <definedName name="SCDPT1_20BEGIN_9" localSheetId="0">'GMIC_2020-Annu_SCDPT1'!$M$104</definedName>
    <definedName name="SCDPT1_20ENDIN_10" localSheetId="0">'GMIC_2020-Annu_SCDPT1'!$N$106</definedName>
    <definedName name="SCDPT1_20ENDIN_11" localSheetId="0">'GMIC_2020-Annu_SCDPT1'!$O$106</definedName>
    <definedName name="SCDPT1_20ENDIN_12" localSheetId="0">'GMIC_2020-Annu_SCDPT1'!$P$106</definedName>
    <definedName name="SCDPT1_20ENDIN_13" localSheetId="0">'GMIC_2020-Annu_SCDPT1'!$Q$106</definedName>
    <definedName name="SCDPT1_20ENDIN_14" localSheetId="0">'GMIC_2020-Annu_SCDPT1'!$R$106</definedName>
    <definedName name="SCDPT1_20ENDIN_15" localSheetId="0">'GMIC_2020-Annu_SCDPT1'!$S$106</definedName>
    <definedName name="SCDPT1_20ENDIN_16" localSheetId="0">'GMIC_2020-Annu_SCDPT1'!$T$106</definedName>
    <definedName name="SCDPT1_20ENDIN_17" localSheetId="0">'GMIC_2020-Annu_SCDPT1'!$U$106</definedName>
    <definedName name="SCDPT1_20ENDIN_18" localSheetId="0">'GMIC_2020-Annu_SCDPT1'!$V$106</definedName>
    <definedName name="SCDPT1_20ENDIN_19" localSheetId="0">'GMIC_2020-Annu_SCDPT1'!$W$106</definedName>
    <definedName name="SCDPT1_20ENDIN_2" localSheetId="0">'GMIC_2020-Annu_SCDPT1'!$D$106</definedName>
    <definedName name="SCDPT1_20ENDIN_20" localSheetId="0">'GMIC_2020-Annu_SCDPT1'!$X$106</definedName>
    <definedName name="SCDPT1_20ENDIN_21" localSheetId="0">'GMIC_2020-Annu_SCDPT1'!$Y$106</definedName>
    <definedName name="SCDPT1_20ENDIN_22" localSheetId="0">'GMIC_2020-Annu_SCDPT1'!$Z$106</definedName>
    <definedName name="SCDPT1_20ENDIN_23" localSheetId="0">'GMIC_2020-Annu_SCDPT1'!$AA$106</definedName>
    <definedName name="SCDPT1_20ENDIN_24" localSheetId="0">'GMIC_2020-Annu_SCDPT1'!$AB$106</definedName>
    <definedName name="SCDPT1_20ENDIN_25" localSheetId="0">'GMIC_2020-Annu_SCDPT1'!$AC$106</definedName>
    <definedName name="SCDPT1_20ENDIN_26" localSheetId="0">'GMIC_2020-Annu_SCDPT1'!$AD$106</definedName>
    <definedName name="SCDPT1_20ENDIN_27" localSheetId="0">'GMIC_2020-Annu_SCDPT1'!$AE$106</definedName>
    <definedName name="SCDPT1_20ENDIN_28" localSheetId="0">'GMIC_2020-Annu_SCDPT1'!$AF$106</definedName>
    <definedName name="SCDPT1_20ENDIN_29" localSheetId="0">'GMIC_2020-Annu_SCDPT1'!$AG$106</definedName>
    <definedName name="SCDPT1_20ENDIN_3" localSheetId="0">'GMIC_2020-Annu_SCDPT1'!$E$106</definedName>
    <definedName name="SCDPT1_20ENDIN_30" localSheetId="0">'GMIC_2020-Annu_SCDPT1'!$AH$106</definedName>
    <definedName name="SCDPT1_20ENDIN_31" localSheetId="0">'GMIC_2020-Annu_SCDPT1'!$AI$106</definedName>
    <definedName name="SCDPT1_20ENDIN_32" localSheetId="0">'GMIC_2020-Annu_SCDPT1'!$AJ$106</definedName>
    <definedName name="SCDPT1_20ENDIN_33" localSheetId="0">'GMIC_2020-Annu_SCDPT1'!$AK$106</definedName>
    <definedName name="SCDPT1_20ENDIN_34" localSheetId="0">'GMIC_2020-Annu_SCDPT1'!$AL$106</definedName>
    <definedName name="SCDPT1_20ENDIN_35" localSheetId="0">'GMIC_2020-Annu_SCDPT1'!$AM$106</definedName>
    <definedName name="SCDPT1_20ENDIN_4" localSheetId="0">'GMIC_2020-Annu_SCDPT1'!$F$106</definedName>
    <definedName name="SCDPT1_20ENDIN_5" localSheetId="0">'GMIC_2020-Annu_SCDPT1'!$G$106</definedName>
    <definedName name="SCDPT1_20ENDIN_6.01" localSheetId="0">'GMIC_2020-Annu_SCDPT1'!$H$106</definedName>
    <definedName name="SCDPT1_20ENDIN_6.02" localSheetId="0">'GMIC_2020-Annu_SCDPT1'!$I$106</definedName>
    <definedName name="SCDPT1_20ENDIN_6.03" localSheetId="0">'GMIC_2020-Annu_SCDPT1'!$J$106</definedName>
    <definedName name="SCDPT1_20ENDIN_7" localSheetId="0">'GMIC_2020-Annu_SCDPT1'!$K$106</definedName>
    <definedName name="SCDPT1_20ENDIN_8" localSheetId="0">'GMIC_2020-Annu_SCDPT1'!$L$106</definedName>
    <definedName name="SCDPT1_20ENDIN_9" localSheetId="0">'GMIC_2020-Annu_SCDPT1'!$M$106</definedName>
    <definedName name="SCDPT1_2100000_Range" localSheetId="0">'GMIC_2020-Annu_SCDPT1'!$B$108:$AM$110</definedName>
    <definedName name="SCDPT1_2199999_10" localSheetId="0">'GMIC_2020-Annu_SCDPT1'!$N$111</definedName>
    <definedName name="SCDPT1_2199999_11" localSheetId="0">'GMIC_2020-Annu_SCDPT1'!$O$111</definedName>
    <definedName name="SCDPT1_2199999_12" localSheetId="0">'GMIC_2020-Annu_SCDPT1'!$P$111</definedName>
    <definedName name="SCDPT1_2199999_13" localSheetId="0">'GMIC_2020-Annu_SCDPT1'!$Q$111</definedName>
    <definedName name="SCDPT1_2199999_14" localSheetId="0">'GMIC_2020-Annu_SCDPT1'!$R$111</definedName>
    <definedName name="SCDPT1_2199999_15" localSheetId="0">'GMIC_2020-Annu_SCDPT1'!$S$111</definedName>
    <definedName name="SCDPT1_2199999_19" localSheetId="0">'GMIC_2020-Annu_SCDPT1'!$W$111</definedName>
    <definedName name="SCDPT1_2199999_20" localSheetId="0">'GMIC_2020-Annu_SCDPT1'!$X$111</definedName>
    <definedName name="SCDPT1_2199999_7" localSheetId="0">'GMIC_2020-Annu_SCDPT1'!$K$111</definedName>
    <definedName name="SCDPT1_2199999_9" localSheetId="0">'GMIC_2020-Annu_SCDPT1'!$M$111</definedName>
    <definedName name="SCDPT1_21BEGIN_1" localSheetId="0">'GMIC_2020-Annu_SCDPT1'!$C$108</definedName>
    <definedName name="SCDPT1_21BEGIN_10" localSheetId="0">'GMIC_2020-Annu_SCDPT1'!$N$108</definedName>
    <definedName name="SCDPT1_21BEGIN_11" localSheetId="0">'GMIC_2020-Annu_SCDPT1'!$O$108</definedName>
    <definedName name="SCDPT1_21BEGIN_12" localSheetId="0">'GMIC_2020-Annu_SCDPT1'!$P$108</definedName>
    <definedName name="SCDPT1_21BEGIN_13" localSheetId="0">'GMIC_2020-Annu_SCDPT1'!$Q$108</definedName>
    <definedName name="SCDPT1_21BEGIN_14" localSheetId="0">'GMIC_2020-Annu_SCDPT1'!$R$108</definedName>
    <definedName name="SCDPT1_21BEGIN_15" localSheetId="0">'GMIC_2020-Annu_SCDPT1'!$S$108</definedName>
    <definedName name="SCDPT1_21BEGIN_16" localSheetId="0">'GMIC_2020-Annu_SCDPT1'!$T$108</definedName>
    <definedName name="SCDPT1_21BEGIN_17" localSheetId="0">'GMIC_2020-Annu_SCDPT1'!$U$108</definedName>
    <definedName name="SCDPT1_21BEGIN_18" localSheetId="0">'GMIC_2020-Annu_SCDPT1'!$V$108</definedName>
    <definedName name="SCDPT1_21BEGIN_19" localSheetId="0">'GMIC_2020-Annu_SCDPT1'!$W$108</definedName>
    <definedName name="SCDPT1_21BEGIN_2" localSheetId="0">'GMIC_2020-Annu_SCDPT1'!$D$108</definedName>
    <definedName name="SCDPT1_21BEGIN_20" localSheetId="0">'GMIC_2020-Annu_SCDPT1'!$X$108</definedName>
    <definedName name="SCDPT1_21BEGIN_21" localSheetId="0">'GMIC_2020-Annu_SCDPT1'!$Y$108</definedName>
    <definedName name="SCDPT1_21BEGIN_22" localSheetId="0">'GMIC_2020-Annu_SCDPT1'!$Z$108</definedName>
    <definedName name="SCDPT1_21BEGIN_23" localSheetId="0">'GMIC_2020-Annu_SCDPT1'!$AA$108</definedName>
    <definedName name="SCDPT1_21BEGIN_24" localSheetId="0">'GMIC_2020-Annu_SCDPT1'!$AB$108</definedName>
    <definedName name="SCDPT1_21BEGIN_25" localSheetId="0">'GMIC_2020-Annu_SCDPT1'!$AC$108</definedName>
    <definedName name="SCDPT1_21BEGIN_26" localSheetId="0">'GMIC_2020-Annu_SCDPT1'!$AD$108</definedName>
    <definedName name="SCDPT1_21BEGIN_27" localSheetId="0">'GMIC_2020-Annu_SCDPT1'!$AE$108</definedName>
    <definedName name="SCDPT1_21BEGIN_28" localSheetId="0">'GMIC_2020-Annu_SCDPT1'!$AF$108</definedName>
    <definedName name="SCDPT1_21BEGIN_29" localSheetId="0">'GMIC_2020-Annu_SCDPT1'!$AG$108</definedName>
    <definedName name="SCDPT1_21BEGIN_3" localSheetId="0">'GMIC_2020-Annu_SCDPT1'!$E$108</definedName>
    <definedName name="SCDPT1_21BEGIN_30" localSheetId="0">'GMIC_2020-Annu_SCDPT1'!$AH$108</definedName>
    <definedName name="SCDPT1_21BEGIN_31" localSheetId="0">'GMIC_2020-Annu_SCDPT1'!$AI$108</definedName>
    <definedName name="SCDPT1_21BEGIN_32" localSheetId="0">'GMIC_2020-Annu_SCDPT1'!$AJ$108</definedName>
    <definedName name="SCDPT1_21BEGIN_33" localSheetId="0">'GMIC_2020-Annu_SCDPT1'!$AK$108</definedName>
    <definedName name="SCDPT1_21BEGIN_34" localSheetId="0">'GMIC_2020-Annu_SCDPT1'!$AL$108</definedName>
    <definedName name="SCDPT1_21BEGIN_35" localSheetId="0">'GMIC_2020-Annu_SCDPT1'!$AM$108</definedName>
    <definedName name="SCDPT1_21BEGIN_4" localSheetId="0">'GMIC_2020-Annu_SCDPT1'!$F$108</definedName>
    <definedName name="SCDPT1_21BEGIN_5" localSheetId="0">'GMIC_2020-Annu_SCDPT1'!$G$108</definedName>
    <definedName name="SCDPT1_21BEGIN_6.01" localSheetId="0">'GMIC_2020-Annu_SCDPT1'!$H$108</definedName>
    <definedName name="SCDPT1_21BEGIN_6.02" localSheetId="0">'GMIC_2020-Annu_SCDPT1'!$I$108</definedName>
    <definedName name="SCDPT1_21BEGIN_6.03" localSheetId="0">'GMIC_2020-Annu_SCDPT1'!$J$108</definedName>
    <definedName name="SCDPT1_21BEGIN_7" localSheetId="0">'GMIC_2020-Annu_SCDPT1'!$K$108</definedName>
    <definedName name="SCDPT1_21BEGIN_8" localSheetId="0">'GMIC_2020-Annu_SCDPT1'!$L$108</definedName>
    <definedName name="SCDPT1_21BEGIN_9" localSheetId="0">'GMIC_2020-Annu_SCDPT1'!$M$108</definedName>
    <definedName name="SCDPT1_21ENDIN_10" localSheetId="0">'GMIC_2020-Annu_SCDPT1'!$N$110</definedName>
    <definedName name="SCDPT1_21ENDIN_11" localSheetId="0">'GMIC_2020-Annu_SCDPT1'!$O$110</definedName>
    <definedName name="SCDPT1_21ENDIN_12" localSheetId="0">'GMIC_2020-Annu_SCDPT1'!$P$110</definedName>
    <definedName name="SCDPT1_21ENDIN_13" localSheetId="0">'GMIC_2020-Annu_SCDPT1'!$Q$110</definedName>
    <definedName name="SCDPT1_21ENDIN_14" localSheetId="0">'GMIC_2020-Annu_SCDPT1'!$R$110</definedName>
    <definedName name="SCDPT1_21ENDIN_15" localSheetId="0">'GMIC_2020-Annu_SCDPT1'!$S$110</definedName>
    <definedName name="SCDPT1_21ENDIN_16" localSheetId="0">'GMIC_2020-Annu_SCDPT1'!$T$110</definedName>
    <definedName name="SCDPT1_21ENDIN_17" localSheetId="0">'GMIC_2020-Annu_SCDPT1'!$U$110</definedName>
    <definedName name="SCDPT1_21ENDIN_18" localSheetId="0">'GMIC_2020-Annu_SCDPT1'!$V$110</definedName>
    <definedName name="SCDPT1_21ENDIN_19" localSheetId="0">'GMIC_2020-Annu_SCDPT1'!$W$110</definedName>
    <definedName name="SCDPT1_21ENDIN_2" localSheetId="0">'GMIC_2020-Annu_SCDPT1'!$D$110</definedName>
    <definedName name="SCDPT1_21ENDIN_20" localSheetId="0">'GMIC_2020-Annu_SCDPT1'!$X$110</definedName>
    <definedName name="SCDPT1_21ENDIN_21" localSheetId="0">'GMIC_2020-Annu_SCDPT1'!$Y$110</definedName>
    <definedName name="SCDPT1_21ENDIN_22" localSheetId="0">'GMIC_2020-Annu_SCDPT1'!$Z$110</definedName>
    <definedName name="SCDPT1_21ENDIN_23" localSheetId="0">'GMIC_2020-Annu_SCDPT1'!$AA$110</definedName>
    <definedName name="SCDPT1_21ENDIN_24" localSheetId="0">'GMIC_2020-Annu_SCDPT1'!$AB$110</definedName>
    <definedName name="SCDPT1_21ENDIN_25" localSheetId="0">'GMIC_2020-Annu_SCDPT1'!$AC$110</definedName>
    <definedName name="SCDPT1_21ENDIN_26" localSheetId="0">'GMIC_2020-Annu_SCDPT1'!$AD$110</definedName>
    <definedName name="SCDPT1_21ENDIN_27" localSheetId="0">'GMIC_2020-Annu_SCDPT1'!$AE$110</definedName>
    <definedName name="SCDPT1_21ENDIN_28" localSheetId="0">'GMIC_2020-Annu_SCDPT1'!$AF$110</definedName>
    <definedName name="SCDPT1_21ENDIN_29" localSheetId="0">'GMIC_2020-Annu_SCDPT1'!$AG$110</definedName>
    <definedName name="SCDPT1_21ENDIN_3" localSheetId="0">'GMIC_2020-Annu_SCDPT1'!$E$110</definedName>
    <definedName name="SCDPT1_21ENDIN_30" localSheetId="0">'GMIC_2020-Annu_SCDPT1'!$AH$110</definedName>
    <definedName name="SCDPT1_21ENDIN_31" localSheetId="0">'GMIC_2020-Annu_SCDPT1'!$AI$110</definedName>
    <definedName name="SCDPT1_21ENDIN_32" localSheetId="0">'GMIC_2020-Annu_SCDPT1'!$AJ$110</definedName>
    <definedName name="SCDPT1_21ENDIN_33" localSheetId="0">'GMIC_2020-Annu_SCDPT1'!$AK$110</definedName>
    <definedName name="SCDPT1_21ENDIN_34" localSheetId="0">'GMIC_2020-Annu_SCDPT1'!$AL$110</definedName>
    <definedName name="SCDPT1_21ENDIN_35" localSheetId="0">'GMIC_2020-Annu_SCDPT1'!$AM$110</definedName>
    <definedName name="SCDPT1_21ENDIN_4" localSheetId="0">'GMIC_2020-Annu_SCDPT1'!$F$110</definedName>
    <definedName name="SCDPT1_21ENDIN_5" localSheetId="0">'GMIC_2020-Annu_SCDPT1'!$G$110</definedName>
    <definedName name="SCDPT1_21ENDIN_6.01" localSheetId="0">'GMIC_2020-Annu_SCDPT1'!$H$110</definedName>
    <definedName name="SCDPT1_21ENDIN_6.02" localSheetId="0">'GMIC_2020-Annu_SCDPT1'!$I$110</definedName>
    <definedName name="SCDPT1_21ENDIN_6.03" localSheetId="0">'GMIC_2020-Annu_SCDPT1'!$J$110</definedName>
    <definedName name="SCDPT1_21ENDIN_7" localSheetId="0">'GMIC_2020-Annu_SCDPT1'!$K$110</definedName>
    <definedName name="SCDPT1_21ENDIN_8" localSheetId="0">'GMIC_2020-Annu_SCDPT1'!$L$110</definedName>
    <definedName name="SCDPT1_21ENDIN_9" localSheetId="0">'GMIC_2020-Annu_SCDPT1'!$M$110</definedName>
    <definedName name="SCDPT1_2499999_10" localSheetId="0">'GMIC_2020-Annu_SCDPT1'!$N$112</definedName>
    <definedName name="SCDPT1_2499999_11" localSheetId="0">'GMIC_2020-Annu_SCDPT1'!$O$112</definedName>
    <definedName name="SCDPT1_2499999_12" localSheetId="0">'GMIC_2020-Annu_SCDPT1'!$P$112</definedName>
    <definedName name="SCDPT1_2499999_13" localSheetId="0">'GMIC_2020-Annu_SCDPT1'!$Q$112</definedName>
    <definedName name="SCDPT1_2499999_14" localSheetId="0">'GMIC_2020-Annu_SCDPT1'!$R$112</definedName>
    <definedName name="SCDPT1_2499999_15" localSheetId="0">'GMIC_2020-Annu_SCDPT1'!$S$112</definedName>
    <definedName name="SCDPT1_2499999_19" localSheetId="0">'GMIC_2020-Annu_SCDPT1'!$W$112</definedName>
    <definedName name="SCDPT1_2499999_20" localSheetId="0">'GMIC_2020-Annu_SCDPT1'!$X$112</definedName>
    <definedName name="SCDPT1_2499999_7" localSheetId="0">'GMIC_2020-Annu_SCDPT1'!$K$112</definedName>
    <definedName name="SCDPT1_2499999_9" localSheetId="0">'GMIC_2020-Annu_SCDPT1'!$M$112</definedName>
    <definedName name="SCDPT1_2500000_Range" localSheetId="0">'GMIC_2020-Annu_SCDPT1'!$B$113:$AM$159</definedName>
    <definedName name="SCDPT1_2500001_1" localSheetId="0">'GMIC_2020-Annu_SCDPT1'!$C$114</definedName>
    <definedName name="SCDPT1_2500001_10" localSheetId="0">'GMIC_2020-Annu_SCDPT1'!$N$114</definedName>
    <definedName name="SCDPT1_2500001_11" localSheetId="0">'GMIC_2020-Annu_SCDPT1'!$O$114</definedName>
    <definedName name="SCDPT1_2500001_12" localSheetId="0">'GMIC_2020-Annu_SCDPT1'!$P$114</definedName>
    <definedName name="SCDPT1_2500001_13" localSheetId="0">'GMIC_2020-Annu_SCDPT1'!$Q$114</definedName>
    <definedName name="SCDPT1_2500001_14" localSheetId="0">'GMIC_2020-Annu_SCDPT1'!$R$114</definedName>
    <definedName name="SCDPT1_2500001_15" localSheetId="0">'GMIC_2020-Annu_SCDPT1'!$S$114</definedName>
    <definedName name="SCDPT1_2500001_16" localSheetId="0">'GMIC_2020-Annu_SCDPT1'!$T$114</definedName>
    <definedName name="SCDPT1_2500001_17" localSheetId="0">'GMIC_2020-Annu_SCDPT1'!$U$114</definedName>
    <definedName name="SCDPT1_2500001_18" localSheetId="0">'GMIC_2020-Annu_SCDPT1'!$V$114</definedName>
    <definedName name="SCDPT1_2500001_19" localSheetId="0">'GMIC_2020-Annu_SCDPT1'!$W$114</definedName>
    <definedName name="SCDPT1_2500001_2" localSheetId="0">'GMIC_2020-Annu_SCDPT1'!$D$114</definedName>
    <definedName name="SCDPT1_2500001_20" localSheetId="0">'GMIC_2020-Annu_SCDPT1'!$X$114</definedName>
    <definedName name="SCDPT1_2500001_21" localSheetId="0">'GMIC_2020-Annu_SCDPT1'!$Y$114</definedName>
    <definedName name="SCDPT1_2500001_22" localSheetId="0">'GMIC_2020-Annu_SCDPT1'!$Z$114</definedName>
    <definedName name="SCDPT1_2500001_23" localSheetId="0">'GMIC_2020-Annu_SCDPT1'!$AA$114</definedName>
    <definedName name="SCDPT1_2500001_24" localSheetId="0">'GMIC_2020-Annu_SCDPT1'!$AB$114</definedName>
    <definedName name="SCDPT1_2500001_25" localSheetId="0">'GMIC_2020-Annu_SCDPT1'!$AC$114</definedName>
    <definedName name="SCDPT1_2500001_27" localSheetId="0">'GMIC_2020-Annu_SCDPT1'!$AE$114</definedName>
    <definedName name="SCDPT1_2500001_28" localSheetId="0">'GMIC_2020-Annu_SCDPT1'!$AF$114</definedName>
    <definedName name="SCDPT1_2500001_29" localSheetId="0">'GMIC_2020-Annu_SCDPT1'!$AG$114</definedName>
    <definedName name="SCDPT1_2500001_3" localSheetId="0">'GMIC_2020-Annu_SCDPT1'!$E$114</definedName>
    <definedName name="SCDPT1_2500001_30" localSheetId="0">'GMIC_2020-Annu_SCDPT1'!$AH$114</definedName>
    <definedName name="SCDPT1_2500001_31" localSheetId="0">'GMIC_2020-Annu_SCDPT1'!$AI$114</definedName>
    <definedName name="SCDPT1_2500001_32" localSheetId="0">'GMIC_2020-Annu_SCDPT1'!$AJ$114</definedName>
    <definedName name="SCDPT1_2500001_33" localSheetId="0">'GMIC_2020-Annu_SCDPT1'!$AK$114</definedName>
    <definedName name="SCDPT1_2500001_34" localSheetId="0">'GMIC_2020-Annu_SCDPT1'!$AL$114</definedName>
    <definedName name="SCDPT1_2500001_35" localSheetId="0">'GMIC_2020-Annu_SCDPT1'!$AM$114</definedName>
    <definedName name="SCDPT1_2500001_4" localSheetId="0">'GMIC_2020-Annu_SCDPT1'!$F$114</definedName>
    <definedName name="SCDPT1_2500001_5" localSheetId="0">'GMIC_2020-Annu_SCDPT1'!$G$114</definedName>
    <definedName name="SCDPT1_2500001_6.01" localSheetId="0">'GMIC_2020-Annu_SCDPT1'!$H$114</definedName>
    <definedName name="SCDPT1_2500001_6.02" localSheetId="0">'GMIC_2020-Annu_SCDPT1'!$I$114</definedName>
    <definedName name="SCDPT1_2500001_6.03" localSheetId="0">'GMIC_2020-Annu_SCDPT1'!$J$114</definedName>
    <definedName name="SCDPT1_2500001_7" localSheetId="0">'GMIC_2020-Annu_SCDPT1'!$K$114</definedName>
    <definedName name="SCDPT1_2500001_8" localSheetId="0">'GMIC_2020-Annu_SCDPT1'!$L$114</definedName>
    <definedName name="SCDPT1_2500001_9" localSheetId="0">'GMIC_2020-Annu_SCDPT1'!$M$114</definedName>
    <definedName name="SCDPT1_2599999_10" localSheetId="0">'GMIC_2020-Annu_SCDPT1'!$N$160</definedName>
    <definedName name="SCDPT1_2599999_11" localSheetId="0">'GMIC_2020-Annu_SCDPT1'!$O$160</definedName>
    <definedName name="SCDPT1_2599999_12" localSheetId="0">'GMIC_2020-Annu_SCDPT1'!$P$160</definedName>
    <definedName name="SCDPT1_2599999_13" localSheetId="0">'GMIC_2020-Annu_SCDPT1'!$Q$160</definedName>
    <definedName name="SCDPT1_2599999_14" localSheetId="0">'GMIC_2020-Annu_SCDPT1'!$R$160</definedName>
    <definedName name="SCDPT1_2599999_15" localSheetId="0">'GMIC_2020-Annu_SCDPT1'!$S$160</definedName>
    <definedName name="SCDPT1_2599999_19" localSheetId="0">'GMIC_2020-Annu_SCDPT1'!$W$160</definedName>
    <definedName name="SCDPT1_2599999_20" localSheetId="0">'GMIC_2020-Annu_SCDPT1'!$X$160</definedName>
    <definedName name="SCDPT1_2599999_7" localSheetId="0">'GMIC_2020-Annu_SCDPT1'!$K$160</definedName>
    <definedName name="SCDPT1_2599999_9" localSheetId="0">'GMIC_2020-Annu_SCDPT1'!$M$160</definedName>
    <definedName name="SCDPT1_25BEGIN_1" localSheetId="0">'GMIC_2020-Annu_SCDPT1'!$C$113</definedName>
    <definedName name="SCDPT1_25BEGIN_10" localSheetId="0">'GMIC_2020-Annu_SCDPT1'!$N$113</definedName>
    <definedName name="SCDPT1_25BEGIN_11" localSheetId="0">'GMIC_2020-Annu_SCDPT1'!$O$113</definedName>
    <definedName name="SCDPT1_25BEGIN_12" localSheetId="0">'GMIC_2020-Annu_SCDPT1'!$P$113</definedName>
    <definedName name="SCDPT1_25BEGIN_13" localSheetId="0">'GMIC_2020-Annu_SCDPT1'!$Q$113</definedName>
    <definedName name="SCDPT1_25BEGIN_14" localSheetId="0">'GMIC_2020-Annu_SCDPT1'!$R$113</definedName>
    <definedName name="SCDPT1_25BEGIN_15" localSheetId="0">'GMIC_2020-Annu_SCDPT1'!$S$113</definedName>
    <definedName name="SCDPT1_25BEGIN_16" localSheetId="0">'GMIC_2020-Annu_SCDPT1'!$T$113</definedName>
    <definedName name="SCDPT1_25BEGIN_17" localSheetId="0">'GMIC_2020-Annu_SCDPT1'!$U$113</definedName>
    <definedName name="SCDPT1_25BEGIN_18" localSheetId="0">'GMIC_2020-Annu_SCDPT1'!$V$113</definedName>
    <definedName name="SCDPT1_25BEGIN_19" localSheetId="0">'GMIC_2020-Annu_SCDPT1'!$W$113</definedName>
    <definedName name="SCDPT1_25BEGIN_2" localSheetId="0">'GMIC_2020-Annu_SCDPT1'!$D$113</definedName>
    <definedName name="SCDPT1_25BEGIN_20" localSheetId="0">'GMIC_2020-Annu_SCDPT1'!$X$113</definedName>
    <definedName name="SCDPT1_25BEGIN_21" localSheetId="0">'GMIC_2020-Annu_SCDPT1'!$Y$113</definedName>
    <definedName name="SCDPT1_25BEGIN_22" localSheetId="0">'GMIC_2020-Annu_SCDPT1'!$Z$113</definedName>
    <definedName name="SCDPT1_25BEGIN_23" localSheetId="0">'GMIC_2020-Annu_SCDPT1'!$AA$113</definedName>
    <definedName name="SCDPT1_25BEGIN_24" localSheetId="0">'GMIC_2020-Annu_SCDPT1'!$AB$113</definedName>
    <definedName name="SCDPT1_25BEGIN_25" localSheetId="0">'GMIC_2020-Annu_SCDPT1'!$AC$113</definedName>
    <definedName name="SCDPT1_25BEGIN_26" localSheetId="0">'GMIC_2020-Annu_SCDPT1'!$AD$113</definedName>
    <definedName name="SCDPT1_25BEGIN_27" localSheetId="0">'GMIC_2020-Annu_SCDPT1'!$AE$113</definedName>
    <definedName name="SCDPT1_25BEGIN_28" localSheetId="0">'GMIC_2020-Annu_SCDPT1'!$AF$113</definedName>
    <definedName name="SCDPT1_25BEGIN_29" localSheetId="0">'GMIC_2020-Annu_SCDPT1'!$AG$113</definedName>
    <definedName name="SCDPT1_25BEGIN_3" localSheetId="0">'GMIC_2020-Annu_SCDPT1'!$E$113</definedName>
    <definedName name="SCDPT1_25BEGIN_30" localSheetId="0">'GMIC_2020-Annu_SCDPT1'!$AH$113</definedName>
    <definedName name="SCDPT1_25BEGIN_31" localSheetId="0">'GMIC_2020-Annu_SCDPT1'!$AI$113</definedName>
    <definedName name="SCDPT1_25BEGIN_32" localSheetId="0">'GMIC_2020-Annu_SCDPT1'!$AJ$113</definedName>
    <definedName name="SCDPT1_25BEGIN_33" localSheetId="0">'GMIC_2020-Annu_SCDPT1'!$AK$113</definedName>
    <definedName name="SCDPT1_25BEGIN_34" localSheetId="0">'GMIC_2020-Annu_SCDPT1'!$AL$113</definedName>
    <definedName name="SCDPT1_25BEGIN_35" localSheetId="0">'GMIC_2020-Annu_SCDPT1'!$AM$113</definedName>
    <definedName name="SCDPT1_25BEGIN_4" localSheetId="0">'GMIC_2020-Annu_SCDPT1'!$F$113</definedName>
    <definedName name="SCDPT1_25BEGIN_5" localSheetId="0">'GMIC_2020-Annu_SCDPT1'!$G$113</definedName>
    <definedName name="SCDPT1_25BEGIN_6.01" localSheetId="0">'GMIC_2020-Annu_SCDPT1'!$H$113</definedName>
    <definedName name="SCDPT1_25BEGIN_6.02" localSheetId="0">'GMIC_2020-Annu_SCDPT1'!$I$113</definedName>
    <definedName name="SCDPT1_25BEGIN_6.03" localSheetId="0">'GMIC_2020-Annu_SCDPT1'!$J$113</definedName>
    <definedName name="SCDPT1_25BEGIN_7" localSheetId="0">'GMIC_2020-Annu_SCDPT1'!$K$113</definedName>
    <definedName name="SCDPT1_25BEGIN_8" localSheetId="0">'GMIC_2020-Annu_SCDPT1'!$L$113</definedName>
    <definedName name="SCDPT1_25BEGIN_9" localSheetId="0">'GMIC_2020-Annu_SCDPT1'!$M$113</definedName>
    <definedName name="SCDPT1_25ENDIN_10" localSheetId="0">'GMIC_2020-Annu_SCDPT1'!$N$159</definedName>
    <definedName name="SCDPT1_25ENDIN_11" localSheetId="0">'GMIC_2020-Annu_SCDPT1'!$O$159</definedName>
    <definedName name="SCDPT1_25ENDIN_12" localSheetId="0">'GMIC_2020-Annu_SCDPT1'!$P$159</definedName>
    <definedName name="SCDPT1_25ENDIN_13" localSheetId="0">'GMIC_2020-Annu_SCDPT1'!$Q$159</definedName>
    <definedName name="SCDPT1_25ENDIN_14" localSheetId="0">'GMIC_2020-Annu_SCDPT1'!$R$159</definedName>
    <definedName name="SCDPT1_25ENDIN_15" localSheetId="0">'GMIC_2020-Annu_SCDPT1'!$S$159</definedName>
    <definedName name="SCDPT1_25ENDIN_16" localSheetId="0">'GMIC_2020-Annu_SCDPT1'!$T$159</definedName>
    <definedName name="SCDPT1_25ENDIN_17" localSheetId="0">'GMIC_2020-Annu_SCDPT1'!$U$159</definedName>
    <definedName name="SCDPT1_25ENDIN_18" localSheetId="0">'GMIC_2020-Annu_SCDPT1'!$V$159</definedName>
    <definedName name="SCDPT1_25ENDIN_19" localSheetId="0">'GMIC_2020-Annu_SCDPT1'!$W$159</definedName>
    <definedName name="SCDPT1_25ENDIN_2" localSheetId="0">'GMIC_2020-Annu_SCDPT1'!$D$159</definedName>
    <definedName name="SCDPT1_25ENDIN_20" localSheetId="0">'GMIC_2020-Annu_SCDPT1'!$X$159</definedName>
    <definedName name="SCDPT1_25ENDIN_21" localSheetId="0">'GMIC_2020-Annu_SCDPT1'!$Y$159</definedName>
    <definedName name="SCDPT1_25ENDIN_22" localSheetId="0">'GMIC_2020-Annu_SCDPT1'!$Z$159</definedName>
    <definedName name="SCDPT1_25ENDIN_23" localSheetId="0">'GMIC_2020-Annu_SCDPT1'!$AA$159</definedName>
    <definedName name="SCDPT1_25ENDIN_24" localSheetId="0">'GMIC_2020-Annu_SCDPT1'!$AB$159</definedName>
    <definedName name="SCDPT1_25ENDIN_25" localSheetId="0">'GMIC_2020-Annu_SCDPT1'!$AC$159</definedName>
    <definedName name="SCDPT1_25ENDIN_26" localSheetId="0">'GMIC_2020-Annu_SCDPT1'!$AD$159</definedName>
    <definedName name="SCDPT1_25ENDIN_27" localSheetId="0">'GMIC_2020-Annu_SCDPT1'!$AE$159</definedName>
    <definedName name="SCDPT1_25ENDIN_28" localSheetId="0">'GMIC_2020-Annu_SCDPT1'!$AF$159</definedName>
    <definedName name="SCDPT1_25ENDIN_29" localSheetId="0">'GMIC_2020-Annu_SCDPT1'!$AG$159</definedName>
    <definedName name="SCDPT1_25ENDIN_3" localSheetId="0">'GMIC_2020-Annu_SCDPT1'!$E$159</definedName>
    <definedName name="SCDPT1_25ENDIN_30" localSheetId="0">'GMIC_2020-Annu_SCDPT1'!$AH$159</definedName>
    <definedName name="SCDPT1_25ENDIN_31" localSheetId="0">'GMIC_2020-Annu_SCDPT1'!$AI$159</definedName>
    <definedName name="SCDPT1_25ENDIN_32" localSheetId="0">'GMIC_2020-Annu_SCDPT1'!$AJ$159</definedName>
    <definedName name="SCDPT1_25ENDIN_33" localSheetId="0">'GMIC_2020-Annu_SCDPT1'!$AK$159</definedName>
    <definedName name="SCDPT1_25ENDIN_34" localSheetId="0">'GMIC_2020-Annu_SCDPT1'!$AL$159</definedName>
    <definedName name="SCDPT1_25ENDIN_35" localSheetId="0">'GMIC_2020-Annu_SCDPT1'!$AM$159</definedName>
    <definedName name="SCDPT1_25ENDIN_4" localSheetId="0">'GMIC_2020-Annu_SCDPT1'!$F$159</definedName>
    <definedName name="SCDPT1_25ENDIN_5" localSheetId="0">'GMIC_2020-Annu_SCDPT1'!$G$159</definedName>
    <definedName name="SCDPT1_25ENDIN_6.01" localSheetId="0">'GMIC_2020-Annu_SCDPT1'!$H$159</definedName>
    <definedName name="SCDPT1_25ENDIN_6.02" localSheetId="0">'GMIC_2020-Annu_SCDPT1'!$I$159</definedName>
    <definedName name="SCDPT1_25ENDIN_6.03" localSheetId="0">'GMIC_2020-Annu_SCDPT1'!$J$159</definedName>
    <definedName name="SCDPT1_25ENDIN_7" localSheetId="0">'GMIC_2020-Annu_SCDPT1'!$K$159</definedName>
    <definedName name="SCDPT1_25ENDIN_8" localSheetId="0">'GMIC_2020-Annu_SCDPT1'!$L$159</definedName>
    <definedName name="SCDPT1_25ENDIN_9" localSheetId="0">'GMIC_2020-Annu_SCDPT1'!$M$159</definedName>
    <definedName name="SCDPT1_2600000_Range" localSheetId="0">'GMIC_2020-Annu_SCDPT1'!$B$161:$AM$163</definedName>
    <definedName name="SCDPT1_2699999_10" localSheetId="0">'GMIC_2020-Annu_SCDPT1'!$N$164</definedName>
    <definedName name="SCDPT1_2699999_11" localSheetId="0">'GMIC_2020-Annu_SCDPT1'!$O$164</definedName>
    <definedName name="SCDPT1_2699999_12" localSheetId="0">'GMIC_2020-Annu_SCDPT1'!$P$164</definedName>
    <definedName name="SCDPT1_2699999_13" localSheetId="0">'GMIC_2020-Annu_SCDPT1'!$Q$164</definedName>
    <definedName name="SCDPT1_2699999_14" localSheetId="0">'GMIC_2020-Annu_SCDPT1'!$R$164</definedName>
    <definedName name="SCDPT1_2699999_15" localSheetId="0">'GMIC_2020-Annu_SCDPT1'!$S$164</definedName>
    <definedName name="SCDPT1_2699999_19" localSheetId="0">'GMIC_2020-Annu_SCDPT1'!$W$164</definedName>
    <definedName name="SCDPT1_2699999_20" localSheetId="0">'GMIC_2020-Annu_SCDPT1'!$X$164</definedName>
    <definedName name="SCDPT1_2699999_7" localSheetId="0">'GMIC_2020-Annu_SCDPT1'!$K$164</definedName>
    <definedName name="SCDPT1_2699999_9" localSheetId="0">'GMIC_2020-Annu_SCDPT1'!$M$164</definedName>
    <definedName name="SCDPT1_26BEGIN_1" localSheetId="0">'GMIC_2020-Annu_SCDPT1'!$C$161</definedName>
    <definedName name="SCDPT1_26BEGIN_10" localSheetId="0">'GMIC_2020-Annu_SCDPT1'!$N$161</definedName>
    <definedName name="SCDPT1_26BEGIN_11" localSheetId="0">'GMIC_2020-Annu_SCDPT1'!$O$161</definedName>
    <definedName name="SCDPT1_26BEGIN_12" localSheetId="0">'GMIC_2020-Annu_SCDPT1'!$P$161</definedName>
    <definedName name="SCDPT1_26BEGIN_13" localSheetId="0">'GMIC_2020-Annu_SCDPT1'!$Q$161</definedName>
    <definedName name="SCDPT1_26BEGIN_14" localSheetId="0">'GMIC_2020-Annu_SCDPT1'!$R$161</definedName>
    <definedName name="SCDPT1_26BEGIN_15" localSheetId="0">'GMIC_2020-Annu_SCDPT1'!$S$161</definedName>
    <definedName name="SCDPT1_26BEGIN_16" localSheetId="0">'GMIC_2020-Annu_SCDPT1'!$T$161</definedName>
    <definedName name="SCDPT1_26BEGIN_17" localSheetId="0">'GMIC_2020-Annu_SCDPT1'!$U$161</definedName>
    <definedName name="SCDPT1_26BEGIN_18" localSheetId="0">'GMIC_2020-Annu_SCDPT1'!$V$161</definedName>
    <definedName name="SCDPT1_26BEGIN_19" localSheetId="0">'GMIC_2020-Annu_SCDPT1'!$W$161</definedName>
    <definedName name="SCDPT1_26BEGIN_2" localSheetId="0">'GMIC_2020-Annu_SCDPT1'!$D$161</definedName>
    <definedName name="SCDPT1_26BEGIN_20" localSheetId="0">'GMIC_2020-Annu_SCDPT1'!$X$161</definedName>
    <definedName name="SCDPT1_26BEGIN_21" localSheetId="0">'GMIC_2020-Annu_SCDPT1'!$Y$161</definedName>
    <definedName name="SCDPT1_26BEGIN_22" localSheetId="0">'GMIC_2020-Annu_SCDPT1'!$Z$161</definedName>
    <definedName name="SCDPT1_26BEGIN_23" localSheetId="0">'GMIC_2020-Annu_SCDPT1'!$AA$161</definedName>
    <definedName name="SCDPT1_26BEGIN_24" localSheetId="0">'GMIC_2020-Annu_SCDPT1'!$AB$161</definedName>
    <definedName name="SCDPT1_26BEGIN_25" localSheetId="0">'GMIC_2020-Annu_SCDPT1'!$AC$161</definedName>
    <definedName name="SCDPT1_26BEGIN_26" localSheetId="0">'GMIC_2020-Annu_SCDPT1'!$AD$161</definedName>
    <definedName name="SCDPT1_26BEGIN_27" localSheetId="0">'GMIC_2020-Annu_SCDPT1'!$AE$161</definedName>
    <definedName name="SCDPT1_26BEGIN_28" localSheetId="0">'GMIC_2020-Annu_SCDPT1'!$AF$161</definedName>
    <definedName name="SCDPT1_26BEGIN_29" localSheetId="0">'GMIC_2020-Annu_SCDPT1'!$AG$161</definedName>
    <definedName name="SCDPT1_26BEGIN_3" localSheetId="0">'GMIC_2020-Annu_SCDPT1'!$E$161</definedName>
    <definedName name="SCDPT1_26BEGIN_30" localSheetId="0">'GMIC_2020-Annu_SCDPT1'!$AH$161</definedName>
    <definedName name="SCDPT1_26BEGIN_31" localSheetId="0">'GMIC_2020-Annu_SCDPT1'!$AI$161</definedName>
    <definedName name="SCDPT1_26BEGIN_32" localSheetId="0">'GMIC_2020-Annu_SCDPT1'!$AJ$161</definedName>
    <definedName name="SCDPT1_26BEGIN_33" localSheetId="0">'GMIC_2020-Annu_SCDPT1'!$AK$161</definedName>
    <definedName name="SCDPT1_26BEGIN_34" localSheetId="0">'GMIC_2020-Annu_SCDPT1'!$AL$161</definedName>
    <definedName name="SCDPT1_26BEGIN_35" localSheetId="0">'GMIC_2020-Annu_SCDPT1'!$AM$161</definedName>
    <definedName name="SCDPT1_26BEGIN_4" localSheetId="0">'GMIC_2020-Annu_SCDPT1'!$F$161</definedName>
    <definedName name="SCDPT1_26BEGIN_5" localSheetId="0">'GMIC_2020-Annu_SCDPT1'!$G$161</definedName>
    <definedName name="SCDPT1_26BEGIN_6.01" localSheetId="0">'GMIC_2020-Annu_SCDPT1'!$H$161</definedName>
    <definedName name="SCDPT1_26BEGIN_6.02" localSheetId="0">'GMIC_2020-Annu_SCDPT1'!$I$161</definedName>
    <definedName name="SCDPT1_26BEGIN_6.03" localSheetId="0">'GMIC_2020-Annu_SCDPT1'!$J$161</definedName>
    <definedName name="SCDPT1_26BEGIN_7" localSheetId="0">'GMIC_2020-Annu_SCDPT1'!$K$161</definedName>
    <definedName name="SCDPT1_26BEGIN_8" localSheetId="0">'GMIC_2020-Annu_SCDPT1'!$L$161</definedName>
    <definedName name="SCDPT1_26BEGIN_9" localSheetId="0">'GMIC_2020-Annu_SCDPT1'!$M$161</definedName>
    <definedName name="SCDPT1_26ENDIN_10" localSheetId="0">'GMIC_2020-Annu_SCDPT1'!$N$163</definedName>
    <definedName name="SCDPT1_26ENDIN_11" localSheetId="0">'GMIC_2020-Annu_SCDPT1'!$O$163</definedName>
    <definedName name="SCDPT1_26ENDIN_12" localSheetId="0">'GMIC_2020-Annu_SCDPT1'!$P$163</definedName>
    <definedName name="SCDPT1_26ENDIN_13" localSheetId="0">'GMIC_2020-Annu_SCDPT1'!$Q$163</definedName>
    <definedName name="SCDPT1_26ENDIN_14" localSheetId="0">'GMIC_2020-Annu_SCDPT1'!$R$163</definedName>
    <definedName name="SCDPT1_26ENDIN_15" localSheetId="0">'GMIC_2020-Annu_SCDPT1'!$S$163</definedName>
    <definedName name="SCDPT1_26ENDIN_16" localSheetId="0">'GMIC_2020-Annu_SCDPT1'!$T$163</definedName>
    <definedName name="SCDPT1_26ENDIN_17" localSheetId="0">'GMIC_2020-Annu_SCDPT1'!$U$163</definedName>
    <definedName name="SCDPT1_26ENDIN_18" localSheetId="0">'GMIC_2020-Annu_SCDPT1'!$V$163</definedName>
    <definedName name="SCDPT1_26ENDIN_19" localSheetId="0">'GMIC_2020-Annu_SCDPT1'!$W$163</definedName>
    <definedName name="SCDPT1_26ENDIN_2" localSheetId="0">'GMIC_2020-Annu_SCDPT1'!$D$163</definedName>
    <definedName name="SCDPT1_26ENDIN_20" localSheetId="0">'GMIC_2020-Annu_SCDPT1'!$X$163</definedName>
    <definedName name="SCDPT1_26ENDIN_21" localSheetId="0">'GMIC_2020-Annu_SCDPT1'!$Y$163</definedName>
    <definedName name="SCDPT1_26ENDIN_22" localSheetId="0">'GMIC_2020-Annu_SCDPT1'!$Z$163</definedName>
    <definedName name="SCDPT1_26ENDIN_23" localSheetId="0">'GMIC_2020-Annu_SCDPT1'!$AA$163</definedName>
    <definedName name="SCDPT1_26ENDIN_24" localSheetId="0">'GMIC_2020-Annu_SCDPT1'!$AB$163</definedName>
    <definedName name="SCDPT1_26ENDIN_25" localSheetId="0">'GMIC_2020-Annu_SCDPT1'!$AC$163</definedName>
    <definedName name="SCDPT1_26ENDIN_26" localSheetId="0">'GMIC_2020-Annu_SCDPT1'!$AD$163</definedName>
    <definedName name="SCDPT1_26ENDIN_27" localSheetId="0">'GMIC_2020-Annu_SCDPT1'!$AE$163</definedName>
    <definedName name="SCDPT1_26ENDIN_28" localSheetId="0">'GMIC_2020-Annu_SCDPT1'!$AF$163</definedName>
    <definedName name="SCDPT1_26ENDIN_29" localSheetId="0">'GMIC_2020-Annu_SCDPT1'!$AG$163</definedName>
    <definedName name="SCDPT1_26ENDIN_3" localSheetId="0">'GMIC_2020-Annu_SCDPT1'!$E$163</definedName>
    <definedName name="SCDPT1_26ENDIN_30" localSheetId="0">'GMIC_2020-Annu_SCDPT1'!$AH$163</definedName>
    <definedName name="SCDPT1_26ENDIN_31" localSheetId="0">'GMIC_2020-Annu_SCDPT1'!$AI$163</definedName>
    <definedName name="SCDPT1_26ENDIN_32" localSheetId="0">'GMIC_2020-Annu_SCDPT1'!$AJ$163</definedName>
    <definedName name="SCDPT1_26ENDIN_33" localSheetId="0">'GMIC_2020-Annu_SCDPT1'!$AK$163</definedName>
    <definedName name="SCDPT1_26ENDIN_34" localSheetId="0">'GMIC_2020-Annu_SCDPT1'!$AL$163</definedName>
    <definedName name="SCDPT1_26ENDIN_35" localSheetId="0">'GMIC_2020-Annu_SCDPT1'!$AM$163</definedName>
    <definedName name="SCDPT1_26ENDIN_4" localSheetId="0">'GMIC_2020-Annu_SCDPT1'!$F$163</definedName>
    <definedName name="SCDPT1_26ENDIN_5" localSheetId="0">'GMIC_2020-Annu_SCDPT1'!$G$163</definedName>
    <definedName name="SCDPT1_26ENDIN_6.01" localSheetId="0">'GMIC_2020-Annu_SCDPT1'!$H$163</definedName>
    <definedName name="SCDPT1_26ENDIN_6.02" localSheetId="0">'GMIC_2020-Annu_SCDPT1'!$I$163</definedName>
    <definedName name="SCDPT1_26ENDIN_6.03" localSheetId="0">'GMIC_2020-Annu_SCDPT1'!$J$163</definedName>
    <definedName name="SCDPT1_26ENDIN_7" localSheetId="0">'GMIC_2020-Annu_SCDPT1'!$K$163</definedName>
    <definedName name="SCDPT1_26ENDIN_8" localSheetId="0">'GMIC_2020-Annu_SCDPT1'!$L$163</definedName>
    <definedName name="SCDPT1_26ENDIN_9" localSheetId="0">'GMIC_2020-Annu_SCDPT1'!$M$163</definedName>
    <definedName name="SCDPT1_2700000_Range" localSheetId="0">'GMIC_2020-Annu_SCDPT1'!$B$165:$AM$167</definedName>
    <definedName name="SCDPT1_2799999_10" localSheetId="0">'GMIC_2020-Annu_SCDPT1'!$N$168</definedName>
    <definedName name="SCDPT1_2799999_11" localSheetId="0">'GMIC_2020-Annu_SCDPT1'!$O$168</definedName>
    <definedName name="SCDPT1_2799999_12" localSheetId="0">'GMIC_2020-Annu_SCDPT1'!$P$168</definedName>
    <definedName name="SCDPT1_2799999_13" localSheetId="0">'GMIC_2020-Annu_SCDPT1'!$Q$168</definedName>
    <definedName name="SCDPT1_2799999_14" localSheetId="0">'GMIC_2020-Annu_SCDPT1'!$R$168</definedName>
    <definedName name="SCDPT1_2799999_15" localSheetId="0">'GMIC_2020-Annu_SCDPT1'!$S$168</definedName>
    <definedName name="SCDPT1_2799999_19" localSheetId="0">'GMIC_2020-Annu_SCDPT1'!$W$168</definedName>
    <definedName name="SCDPT1_2799999_20" localSheetId="0">'GMIC_2020-Annu_SCDPT1'!$X$168</definedName>
    <definedName name="SCDPT1_2799999_7" localSheetId="0">'GMIC_2020-Annu_SCDPT1'!$K$168</definedName>
    <definedName name="SCDPT1_2799999_9" localSheetId="0">'GMIC_2020-Annu_SCDPT1'!$M$168</definedName>
    <definedName name="SCDPT1_27BEGIN_1" localSheetId="0">'GMIC_2020-Annu_SCDPT1'!$C$165</definedName>
    <definedName name="SCDPT1_27BEGIN_10" localSheetId="0">'GMIC_2020-Annu_SCDPT1'!$N$165</definedName>
    <definedName name="SCDPT1_27BEGIN_11" localSheetId="0">'GMIC_2020-Annu_SCDPT1'!$O$165</definedName>
    <definedName name="SCDPT1_27BEGIN_12" localSheetId="0">'GMIC_2020-Annu_SCDPT1'!$P$165</definedName>
    <definedName name="SCDPT1_27BEGIN_13" localSheetId="0">'GMIC_2020-Annu_SCDPT1'!$Q$165</definedName>
    <definedName name="SCDPT1_27BEGIN_14" localSheetId="0">'GMIC_2020-Annu_SCDPT1'!$R$165</definedName>
    <definedName name="SCDPT1_27BEGIN_15" localSheetId="0">'GMIC_2020-Annu_SCDPT1'!$S$165</definedName>
    <definedName name="SCDPT1_27BEGIN_16" localSheetId="0">'GMIC_2020-Annu_SCDPT1'!$T$165</definedName>
    <definedName name="SCDPT1_27BEGIN_17" localSheetId="0">'GMIC_2020-Annu_SCDPT1'!$U$165</definedName>
    <definedName name="SCDPT1_27BEGIN_18" localSheetId="0">'GMIC_2020-Annu_SCDPT1'!$V$165</definedName>
    <definedName name="SCDPT1_27BEGIN_19" localSheetId="0">'GMIC_2020-Annu_SCDPT1'!$W$165</definedName>
    <definedName name="SCDPT1_27BEGIN_2" localSheetId="0">'GMIC_2020-Annu_SCDPT1'!$D$165</definedName>
    <definedName name="SCDPT1_27BEGIN_20" localSheetId="0">'GMIC_2020-Annu_SCDPT1'!$X$165</definedName>
    <definedName name="SCDPT1_27BEGIN_21" localSheetId="0">'GMIC_2020-Annu_SCDPT1'!$Y$165</definedName>
    <definedName name="SCDPT1_27BEGIN_22" localSheetId="0">'GMIC_2020-Annu_SCDPT1'!$Z$165</definedName>
    <definedName name="SCDPT1_27BEGIN_23" localSheetId="0">'GMIC_2020-Annu_SCDPT1'!$AA$165</definedName>
    <definedName name="SCDPT1_27BEGIN_24" localSheetId="0">'GMIC_2020-Annu_SCDPT1'!$AB$165</definedName>
    <definedName name="SCDPT1_27BEGIN_25" localSheetId="0">'GMIC_2020-Annu_SCDPT1'!$AC$165</definedName>
    <definedName name="SCDPT1_27BEGIN_26" localSheetId="0">'GMIC_2020-Annu_SCDPT1'!$AD$165</definedName>
    <definedName name="SCDPT1_27BEGIN_27" localSheetId="0">'GMIC_2020-Annu_SCDPT1'!$AE$165</definedName>
    <definedName name="SCDPT1_27BEGIN_28" localSheetId="0">'GMIC_2020-Annu_SCDPT1'!$AF$165</definedName>
    <definedName name="SCDPT1_27BEGIN_29" localSheetId="0">'GMIC_2020-Annu_SCDPT1'!$AG$165</definedName>
    <definedName name="SCDPT1_27BEGIN_3" localSheetId="0">'GMIC_2020-Annu_SCDPT1'!$E$165</definedName>
    <definedName name="SCDPT1_27BEGIN_30" localSheetId="0">'GMIC_2020-Annu_SCDPT1'!$AH$165</definedName>
    <definedName name="SCDPT1_27BEGIN_31" localSheetId="0">'GMIC_2020-Annu_SCDPT1'!$AI$165</definedName>
    <definedName name="SCDPT1_27BEGIN_32" localSheetId="0">'GMIC_2020-Annu_SCDPT1'!$AJ$165</definedName>
    <definedName name="SCDPT1_27BEGIN_33" localSheetId="0">'GMIC_2020-Annu_SCDPT1'!$AK$165</definedName>
    <definedName name="SCDPT1_27BEGIN_34" localSheetId="0">'GMIC_2020-Annu_SCDPT1'!$AL$165</definedName>
    <definedName name="SCDPT1_27BEGIN_35" localSheetId="0">'GMIC_2020-Annu_SCDPT1'!$AM$165</definedName>
    <definedName name="SCDPT1_27BEGIN_4" localSheetId="0">'GMIC_2020-Annu_SCDPT1'!$F$165</definedName>
    <definedName name="SCDPT1_27BEGIN_5" localSheetId="0">'GMIC_2020-Annu_SCDPT1'!$G$165</definedName>
    <definedName name="SCDPT1_27BEGIN_6.01" localSheetId="0">'GMIC_2020-Annu_SCDPT1'!$H$165</definedName>
    <definedName name="SCDPT1_27BEGIN_6.02" localSheetId="0">'GMIC_2020-Annu_SCDPT1'!$I$165</definedName>
    <definedName name="SCDPT1_27BEGIN_6.03" localSheetId="0">'GMIC_2020-Annu_SCDPT1'!$J$165</definedName>
    <definedName name="SCDPT1_27BEGIN_7" localSheetId="0">'GMIC_2020-Annu_SCDPT1'!$K$165</definedName>
    <definedName name="SCDPT1_27BEGIN_8" localSheetId="0">'GMIC_2020-Annu_SCDPT1'!$L$165</definedName>
    <definedName name="SCDPT1_27BEGIN_9" localSheetId="0">'GMIC_2020-Annu_SCDPT1'!$M$165</definedName>
    <definedName name="SCDPT1_27ENDIN_10" localSheetId="0">'GMIC_2020-Annu_SCDPT1'!$N$167</definedName>
    <definedName name="SCDPT1_27ENDIN_11" localSheetId="0">'GMIC_2020-Annu_SCDPT1'!$O$167</definedName>
    <definedName name="SCDPT1_27ENDIN_12" localSheetId="0">'GMIC_2020-Annu_SCDPT1'!$P$167</definedName>
    <definedName name="SCDPT1_27ENDIN_13" localSheetId="0">'GMIC_2020-Annu_SCDPT1'!$Q$167</definedName>
    <definedName name="SCDPT1_27ENDIN_14" localSheetId="0">'GMIC_2020-Annu_SCDPT1'!$R$167</definedName>
    <definedName name="SCDPT1_27ENDIN_15" localSheetId="0">'GMIC_2020-Annu_SCDPT1'!$S$167</definedName>
    <definedName name="SCDPT1_27ENDIN_16" localSheetId="0">'GMIC_2020-Annu_SCDPT1'!$T$167</definedName>
    <definedName name="SCDPT1_27ENDIN_17" localSheetId="0">'GMIC_2020-Annu_SCDPT1'!$U$167</definedName>
    <definedName name="SCDPT1_27ENDIN_18" localSheetId="0">'GMIC_2020-Annu_SCDPT1'!$V$167</definedName>
    <definedName name="SCDPT1_27ENDIN_19" localSheetId="0">'GMIC_2020-Annu_SCDPT1'!$W$167</definedName>
    <definedName name="SCDPT1_27ENDIN_2" localSheetId="0">'GMIC_2020-Annu_SCDPT1'!$D$167</definedName>
    <definedName name="SCDPT1_27ENDIN_20" localSheetId="0">'GMIC_2020-Annu_SCDPT1'!$X$167</definedName>
    <definedName name="SCDPT1_27ENDIN_21" localSheetId="0">'GMIC_2020-Annu_SCDPT1'!$Y$167</definedName>
    <definedName name="SCDPT1_27ENDIN_22" localSheetId="0">'GMIC_2020-Annu_SCDPT1'!$Z$167</definedName>
    <definedName name="SCDPT1_27ENDIN_23" localSheetId="0">'GMIC_2020-Annu_SCDPT1'!$AA$167</definedName>
    <definedName name="SCDPT1_27ENDIN_24" localSheetId="0">'GMIC_2020-Annu_SCDPT1'!$AB$167</definedName>
    <definedName name="SCDPT1_27ENDIN_25" localSheetId="0">'GMIC_2020-Annu_SCDPT1'!$AC$167</definedName>
    <definedName name="SCDPT1_27ENDIN_26" localSheetId="0">'GMIC_2020-Annu_SCDPT1'!$AD$167</definedName>
    <definedName name="SCDPT1_27ENDIN_27" localSheetId="0">'GMIC_2020-Annu_SCDPT1'!$AE$167</definedName>
    <definedName name="SCDPT1_27ENDIN_28" localSheetId="0">'GMIC_2020-Annu_SCDPT1'!$AF$167</definedName>
    <definedName name="SCDPT1_27ENDIN_29" localSheetId="0">'GMIC_2020-Annu_SCDPT1'!$AG$167</definedName>
    <definedName name="SCDPT1_27ENDIN_3" localSheetId="0">'GMIC_2020-Annu_SCDPT1'!$E$167</definedName>
    <definedName name="SCDPT1_27ENDIN_30" localSheetId="0">'GMIC_2020-Annu_SCDPT1'!$AH$167</definedName>
    <definedName name="SCDPT1_27ENDIN_31" localSheetId="0">'GMIC_2020-Annu_SCDPT1'!$AI$167</definedName>
    <definedName name="SCDPT1_27ENDIN_32" localSheetId="0">'GMIC_2020-Annu_SCDPT1'!$AJ$167</definedName>
    <definedName name="SCDPT1_27ENDIN_33" localSheetId="0">'GMIC_2020-Annu_SCDPT1'!$AK$167</definedName>
    <definedName name="SCDPT1_27ENDIN_34" localSheetId="0">'GMIC_2020-Annu_SCDPT1'!$AL$167</definedName>
    <definedName name="SCDPT1_27ENDIN_35" localSheetId="0">'GMIC_2020-Annu_SCDPT1'!$AM$167</definedName>
    <definedName name="SCDPT1_27ENDIN_4" localSheetId="0">'GMIC_2020-Annu_SCDPT1'!$F$167</definedName>
    <definedName name="SCDPT1_27ENDIN_5" localSheetId="0">'GMIC_2020-Annu_SCDPT1'!$G$167</definedName>
    <definedName name="SCDPT1_27ENDIN_6.01" localSheetId="0">'GMIC_2020-Annu_SCDPT1'!$H$167</definedName>
    <definedName name="SCDPT1_27ENDIN_6.02" localSheetId="0">'GMIC_2020-Annu_SCDPT1'!$I$167</definedName>
    <definedName name="SCDPT1_27ENDIN_6.03" localSheetId="0">'GMIC_2020-Annu_SCDPT1'!$J$167</definedName>
    <definedName name="SCDPT1_27ENDIN_7" localSheetId="0">'GMIC_2020-Annu_SCDPT1'!$K$167</definedName>
    <definedName name="SCDPT1_27ENDIN_8" localSheetId="0">'GMIC_2020-Annu_SCDPT1'!$L$167</definedName>
    <definedName name="SCDPT1_27ENDIN_9" localSheetId="0">'GMIC_2020-Annu_SCDPT1'!$M$167</definedName>
    <definedName name="SCDPT1_2800000_Range" localSheetId="0">'GMIC_2020-Annu_SCDPT1'!$B$169:$AM$171</definedName>
    <definedName name="SCDPT1_2899999_10" localSheetId="0">'GMIC_2020-Annu_SCDPT1'!$N$172</definedName>
    <definedName name="SCDPT1_2899999_11" localSheetId="0">'GMIC_2020-Annu_SCDPT1'!$O$172</definedName>
    <definedName name="SCDPT1_2899999_12" localSheetId="0">'GMIC_2020-Annu_SCDPT1'!$P$172</definedName>
    <definedName name="SCDPT1_2899999_13" localSheetId="0">'GMIC_2020-Annu_SCDPT1'!$Q$172</definedName>
    <definedName name="SCDPT1_2899999_14" localSheetId="0">'GMIC_2020-Annu_SCDPT1'!$R$172</definedName>
    <definedName name="SCDPT1_2899999_15" localSheetId="0">'GMIC_2020-Annu_SCDPT1'!$S$172</definedName>
    <definedName name="SCDPT1_2899999_19" localSheetId="0">'GMIC_2020-Annu_SCDPT1'!$W$172</definedName>
    <definedName name="SCDPT1_2899999_20" localSheetId="0">'GMIC_2020-Annu_SCDPT1'!$X$172</definedName>
    <definedName name="SCDPT1_2899999_7" localSheetId="0">'GMIC_2020-Annu_SCDPT1'!$K$172</definedName>
    <definedName name="SCDPT1_2899999_9" localSheetId="0">'GMIC_2020-Annu_SCDPT1'!$M$172</definedName>
    <definedName name="SCDPT1_28BEGIN_1" localSheetId="0">'GMIC_2020-Annu_SCDPT1'!$C$169</definedName>
    <definedName name="SCDPT1_28BEGIN_10" localSheetId="0">'GMIC_2020-Annu_SCDPT1'!$N$169</definedName>
    <definedName name="SCDPT1_28BEGIN_11" localSheetId="0">'GMIC_2020-Annu_SCDPT1'!$O$169</definedName>
    <definedName name="SCDPT1_28BEGIN_12" localSheetId="0">'GMIC_2020-Annu_SCDPT1'!$P$169</definedName>
    <definedName name="SCDPT1_28BEGIN_13" localSheetId="0">'GMIC_2020-Annu_SCDPT1'!$Q$169</definedName>
    <definedName name="SCDPT1_28BEGIN_14" localSheetId="0">'GMIC_2020-Annu_SCDPT1'!$R$169</definedName>
    <definedName name="SCDPT1_28BEGIN_15" localSheetId="0">'GMIC_2020-Annu_SCDPT1'!$S$169</definedName>
    <definedName name="SCDPT1_28BEGIN_16" localSheetId="0">'GMIC_2020-Annu_SCDPT1'!$T$169</definedName>
    <definedName name="SCDPT1_28BEGIN_17" localSheetId="0">'GMIC_2020-Annu_SCDPT1'!$U$169</definedName>
    <definedName name="SCDPT1_28BEGIN_18" localSheetId="0">'GMIC_2020-Annu_SCDPT1'!$V$169</definedName>
    <definedName name="SCDPT1_28BEGIN_19" localSheetId="0">'GMIC_2020-Annu_SCDPT1'!$W$169</definedName>
    <definedName name="SCDPT1_28BEGIN_2" localSheetId="0">'GMIC_2020-Annu_SCDPT1'!$D$169</definedName>
    <definedName name="SCDPT1_28BEGIN_20" localSheetId="0">'GMIC_2020-Annu_SCDPT1'!$X$169</definedName>
    <definedName name="SCDPT1_28BEGIN_21" localSheetId="0">'GMIC_2020-Annu_SCDPT1'!$Y$169</definedName>
    <definedName name="SCDPT1_28BEGIN_22" localSheetId="0">'GMIC_2020-Annu_SCDPT1'!$Z$169</definedName>
    <definedName name="SCDPT1_28BEGIN_23" localSheetId="0">'GMIC_2020-Annu_SCDPT1'!$AA$169</definedName>
    <definedName name="SCDPT1_28BEGIN_24" localSheetId="0">'GMIC_2020-Annu_SCDPT1'!$AB$169</definedName>
    <definedName name="SCDPT1_28BEGIN_25" localSheetId="0">'GMIC_2020-Annu_SCDPT1'!$AC$169</definedName>
    <definedName name="SCDPT1_28BEGIN_26" localSheetId="0">'GMIC_2020-Annu_SCDPT1'!$AD$169</definedName>
    <definedName name="SCDPT1_28BEGIN_27" localSheetId="0">'GMIC_2020-Annu_SCDPT1'!$AE$169</definedName>
    <definedName name="SCDPT1_28BEGIN_28" localSheetId="0">'GMIC_2020-Annu_SCDPT1'!$AF$169</definedName>
    <definedName name="SCDPT1_28BEGIN_29" localSheetId="0">'GMIC_2020-Annu_SCDPT1'!$AG$169</definedName>
    <definedName name="SCDPT1_28BEGIN_3" localSheetId="0">'GMIC_2020-Annu_SCDPT1'!$E$169</definedName>
    <definedName name="SCDPT1_28BEGIN_30" localSheetId="0">'GMIC_2020-Annu_SCDPT1'!$AH$169</definedName>
    <definedName name="SCDPT1_28BEGIN_31" localSheetId="0">'GMIC_2020-Annu_SCDPT1'!$AI$169</definedName>
    <definedName name="SCDPT1_28BEGIN_32" localSheetId="0">'GMIC_2020-Annu_SCDPT1'!$AJ$169</definedName>
    <definedName name="SCDPT1_28BEGIN_33" localSheetId="0">'GMIC_2020-Annu_SCDPT1'!$AK$169</definedName>
    <definedName name="SCDPT1_28BEGIN_34" localSheetId="0">'GMIC_2020-Annu_SCDPT1'!$AL$169</definedName>
    <definedName name="SCDPT1_28BEGIN_35" localSheetId="0">'GMIC_2020-Annu_SCDPT1'!$AM$169</definedName>
    <definedName name="SCDPT1_28BEGIN_4" localSheetId="0">'GMIC_2020-Annu_SCDPT1'!$F$169</definedName>
    <definedName name="SCDPT1_28BEGIN_5" localSheetId="0">'GMIC_2020-Annu_SCDPT1'!$G$169</definedName>
    <definedName name="SCDPT1_28BEGIN_6.01" localSheetId="0">'GMIC_2020-Annu_SCDPT1'!$H$169</definedName>
    <definedName name="SCDPT1_28BEGIN_6.02" localSheetId="0">'GMIC_2020-Annu_SCDPT1'!$I$169</definedName>
    <definedName name="SCDPT1_28BEGIN_6.03" localSheetId="0">'GMIC_2020-Annu_SCDPT1'!$J$169</definedName>
    <definedName name="SCDPT1_28BEGIN_7" localSheetId="0">'GMIC_2020-Annu_SCDPT1'!$K$169</definedName>
    <definedName name="SCDPT1_28BEGIN_8" localSheetId="0">'GMIC_2020-Annu_SCDPT1'!$L$169</definedName>
    <definedName name="SCDPT1_28BEGIN_9" localSheetId="0">'GMIC_2020-Annu_SCDPT1'!$M$169</definedName>
    <definedName name="SCDPT1_28ENDIN_10" localSheetId="0">'GMIC_2020-Annu_SCDPT1'!$N$171</definedName>
    <definedName name="SCDPT1_28ENDIN_11" localSheetId="0">'GMIC_2020-Annu_SCDPT1'!$O$171</definedName>
    <definedName name="SCDPT1_28ENDIN_12" localSheetId="0">'GMIC_2020-Annu_SCDPT1'!$P$171</definedName>
    <definedName name="SCDPT1_28ENDIN_13" localSheetId="0">'GMIC_2020-Annu_SCDPT1'!$Q$171</definedName>
    <definedName name="SCDPT1_28ENDIN_14" localSheetId="0">'GMIC_2020-Annu_SCDPT1'!$R$171</definedName>
    <definedName name="SCDPT1_28ENDIN_15" localSheetId="0">'GMIC_2020-Annu_SCDPT1'!$S$171</definedName>
    <definedName name="SCDPT1_28ENDIN_16" localSheetId="0">'GMIC_2020-Annu_SCDPT1'!$T$171</definedName>
    <definedName name="SCDPT1_28ENDIN_17" localSheetId="0">'GMIC_2020-Annu_SCDPT1'!$U$171</definedName>
    <definedName name="SCDPT1_28ENDIN_18" localSheetId="0">'GMIC_2020-Annu_SCDPT1'!$V$171</definedName>
    <definedName name="SCDPT1_28ENDIN_19" localSheetId="0">'GMIC_2020-Annu_SCDPT1'!$W$171</definedName>
    <definedName name="SCDPT1_28ENDIN_2" localSheetId="0">'GMIC_2020-Annu_SCDPT1'!$D$171</definedName>
    <definedName name="SCDPT1_28ENDIN_20" localSheetId="0">'GMIC_2020-Annu_SCDPT1'!$X$171</definedName>
    <definedName name="SCDPT1_28ENDIN_21" localSheetId="0">'GMIC_2020-Annu_SCDPT1'!$Y$171</definedName>
    <definedName name="SCDPT1_28ENDIN_22" localSheetId="0">'GMIC_2020-Annu_SCDPT1'!$Z$171</definedName>
    <definedName name="SCDPT1_28ENDIN_23" localSheetId="0">'GMIC_2020-Annu_SCDPT1'!$AA$171</definedName>
    <definedName name="SCDPT1_28ENDIN_24" localSheetId="0">'GMIC_2020-Annu_SCDPT1'!$AB$171</definedName>
    <definedName name="SCDPT1_28ENDIN_25" localSheetId="0">'GMIC_2020-Annu_SCDPT1'!$AC$171</definedName>
    <definedName name="SCDPT1_28ENDIN_26" localSheetId="0">'GMIC_2020-Annu_SCDPT1'!$AD$171</definedName>
    <definedName name="SCDPT1_28ENDIN_27" localSheetId="0">'GMIC_2020-Annu_SCDPT1'!$AE$171</definedName>
    <definedName name="SCDPT1_28ENDIN_28" localSheetId="0">'GMIC_2020-Annu_SCDPT1'!$AF$171</definedName>
    <definedName name="SCDPT1_28ENDIN_29" localSheetId="0">'GMIC_2020-Annu_SCDPT1'!$AG$171</definedName>
    <definedName name="SCDPT1_28ENDIN_3" localSheetId="0">'GMIC_2020-Annu_SCDPT1'!$E$171</definedName>
    <definedName name="SCDPT1_28ENDIN_30" localSheetId="0">'GMIC_2020-Annu_SCDPT1'!$AH$171</definedName>
    <definedName name="SCDPT1_28ENDIN_31" localSheetId="0">'GMIC_2020-Annu_SCDPT1'!$AI$171</definedName>
    <definedName name="SCDPT1_28ENDIN_32" localSheetId="0">'GMIC_2020-Annu_SCDPT1'!$AJ$171</definedName>
    <definedName name="SCDPT1_28ENDIN_33" localSheetId="0">'GMIC_2020-Annu_SCDPT1'!$AK$171</definedName>
    <definedName name="SCDPT1_28ENDIN_34" localSheetId="0">'GMIC_2020-Annu_SCDPT1'!$AL$171</definedName>
    <definedName name="SCDPT1_28ENDIN_35" localSheetId="0">'GMIC_2020-Annu_SCDPT1'!$AM$171</definedName>
    <definedName name="SCDPT1_28ENDIN_4" localSheetId="0">'GMIC_2020-Annu_SCDPT1'!$F$171</definedName>
    <definedName name="SCDPT1_28ENDIN_5" localSheetId="0">'GMIC_2020-Annu_SCDPT1'!$G$171</definedName>
    <definedName name="SCDPT1_28ENDIN_6.01" localSheetId="0">'GMIC_2020-Annu_SCDPT1'!$H$171</definedName>
    <definedName name="SCDPT1_28ENDIN_6.02" localSheetId="0">'GMIC_2020-Annu_SCDPT1'!$I$171</definedName>
    <definedName name="SCDPT1_28ENDIN_6.03" localSheetId="0">'GMIC_2020-Annu_SCDPT1'!$J$171</definedName>
    <definedName name="SCDPT1_28ENDIN_7" localSheetId="0">'GMIC_2020-Annu_SCDPT1'!$K$171</definedName>
    <definedName name="SCDPT1_28ENDIN_8" localSheetId="0">'GMIC_2020-Annu_SCDPT1'!$L$171</definedName>
    <definedName name="SCDPT1_28ENDIN_9" localSheetId="0">'GMIC_2020-Annu_SCDPT1'!$M$171</definedName>
    <definedName name="SCDPT1_3199999_10" localSheetId="0">'GMIC_2020-Annu_SCDPT1'!$N$173</definedName>
    <definedName name="SCDPT1_3199999_11" localSheetId="0">'GMIC_2020-Annu_SCDPT1'!$O$173</definedName>
    <definedName name="SCDPT1_3199999_12" localSheetId="0">'GMIC_2020-Annu_SCDPT1'!$P$173</definedName>
    <definedName name="SCDPT1_3199999_13" localSheetId="0">'GMIC_2020-Annu_SCDPT1'!$Q$173</definedName>
    <definedName name="SCDPT1_3199999_14" localSheetId="0">'GMIC_2020-Annu_SCDPT1'!$R$173</definedName>
    <definedName name="SCDPT1_3199999_15" localSheetId="0">'GMIC_2020-Annu_SCDPT1'!$S$173</definedName>
    <definedName name="SCDPT1_3199999_19" localSheetId="0">'GMIC_2020-Annu_SCDPT1'!$W$173</definedName>
    <definedName name="SCDPT1_3199999_20" localSheetId="0">'GMIC_2020-Annu_SCDPT1'!$X$173</definedName>
    <definedName name="SCDPT1_3199999_7" localSheetId="0">'GMIC_2020-Annu_SCDPT1'!$K$173</definedName>
    <definedName name="SCDPT1_3199999_9" localSheetId="0">'GMIC_2020-Annu_SCDPT1'!$M$173</definedName>
    <definedName name="SCDPT1_3200000_Range" localSheetId="0">'GMIC_2020-Annu_SCDPT1'!$B$174:$AM$770</definedName>
    <definedName name="SCDPT1_3200001_1" localSheetId="0">'GMIC_2020-Annu_SCDPT1'!$C$175</definedName>
    <definedName name="SCDPT1_3200001_10" localSheetId="0">'GMIC_2020-Annu_SCDPT1'!$N$175</definedName>
    <definedName name="SCDPT1_3200001_11" localSheetId="0">'GMIC_2020-Annu_SCDPT1'!$O$175</definedName>
    <definedName name="SCDPT1_3200001_12" localSheetId="0">'GMIC_2020-Annu_SCDPT1'!$P$175</definedName>
    <definedName name="SCDPT1_3200001_13" localSheetId="0">'GMIC_2020-Annu_SCDPT1'!$Q$175</definedName>
    <definedName name="SCDPT1_3200001_14" localSheetId="0">'GMIC_2020-Annu_SCDPT1'!$R$175</definedName>
    <definedName name="SCDPT1_3200001_15" localSheetId="0">'GMIC_2020-Annu_SCDPT1'!$S$175</definedName>
    <definedName name="SCDPT1_3200001_16" localSheetId="0">'GMIC_2020-Annu_SCDPT1'!$T$175</definedName>
    <definedName name="SCDPT1_3200001_17" localSheetId="0">'GMIC_2020-Annu_SCDPT1'!$U$175</definedName>
    <definedName name="SCDPT1_3200001_18" localSheetId="0">'GMIC_2020-Annu_SCDPT1'!$V$175</definedName>
    <definedName name="SCDPT1_3200001_19" localSheetId="0">'GMIC_2020-Annu_SCDPT1'!$W$175</definedName>
    <definedName name="SCDPT1_3200001_2" localSheetId="0">'GMIC_2020-Annu_SCDPT1'!$D$175</definedName>
    <definedName name="SCDPT1_3200001_20" localSheetId="0">'GMIC_2020-Annu_SCDPT1'!$X$175</definedName>
    <definedName name="SCDPT1_3200001_21" localSheetId="0">'GMIC_2020-Annu_SCDPT1'!$Y$175</definedName>
    <definedName name="SCDPT1_3200001_22" localSheetId="0">'GMIC_2020-Annu_SCDPT1'!$Z$175</definedName>
    <definedName name="SCDPT1_3200001_24" localSheetId="0">'GMIC_2020-Annu_SCDPT1'!$AB$175</definedName>
    <definedName name="SCDPT1_3200001_25" localSheetId="0">'GMIC_2020-Annu_SCDPT1'!$AC$175</definedName>
    <definedName name="SCDPT1_3200001_27" localSheetId="0">'GMIC_2020-Annu_SCDPT1'!$AE$175</definedName>
    <definedName name="SCDPT1_3200001_28" localSheetId="0">'GMIC_2020-Annu_SCDPT1'!$AF$175</definedName>
    <definedName name="SCDPT1_3200001_29" localSheetId="0">'GMIC_2020-Annu_SCDPT1'!$AG$175</definedName>
    <definedName name="SCDPT1_3200001_3" localSheetId="0">'GMIC_2020-Annu_SCDPT1'!$E$175</definedName>
    <definedName name="SCDPT1_3200001_30" localSheetId="0">'GMIC_2020-Annu_SCDPT1'!$AH$175</definedName>
    <definedName name="SCDPT1_3200001_31" localSheetId="0">'GMIC_2020-Annu_SCDPT1'!$AI$175</definedName>
    <definedName name="SCDPT1_3200001_32" localSheetId="0">'GMIC_2020-Annu_SCDPT1'!$AJ$175</definedName>
    <definedName name="SCDPT1_3200001_33" localSheetId="0">'GMIC_2020-Annu_SCDPT1'!$AK$175</definedName>
    <definedName name="SCDPT1_3200001_34" localSheetId="0">'GMIC_2020-Annu_SCDPT1'!$AL$175</definedName>
    <definedName name="SCDPT1_3200001_35" localSheetId="0">'GMIC_2020-Annu_SCDPT1'!$AM$175</definedName>
    <definedName name="SCDPT1_3200001_4" localSheetId="0">'GMIC_2020-Annu_SCDPT1'!$F$175</definedName>
    <definedName name="SCDPT1_3200001_5" localSheetId="0">'GMIC_2020-Annu_SCDPT1'!$G$175</definedName>
    <definedName name="SCDPT1_3200001_6.01" localSheetId="0">'GMIC_2020-Annu_SCDPT1'!$H$175</definedName>
    <definedName name="SCDPT1_3200001_6.02" localSheetId="0">'GMIC_2020-Annu_SCDPT1'!$I$175</definedName>
    <definedName name="SCDPT1_3200001_6.03" localSheetId="0">'GMIC_2020-Annu_SCDPT1'!$J$175</definedName>
    <definedName name="SCDPT1_3200001_7" localSheetId="0">'GMIC_2020-Annu_SCDPT1'!$K$175</definedName>
    <definedName name="SCDPT1_3200001_8" localSheetId="0">'GMIC_2020-Annu_SCDPT1'!$L$175</definedName>
    <definedName name="SCDPT1_3200001_9" localSheetId="0">'GMIC_2020-Annu_SCDPT1'!$M$175</definedName>
    <definedName name="SCDPT1_3299999_10" localSheetId="0">'GMIC_2020-Annu_SCDPT1'!$N$771</definedName>
    <definedName name="SCDPT1_3299999_11" localSheetId="0">'GMIC_2020-Annu_SCDPT1'!$O$771</definedName>
    <definedName name="SCDPT1_3299999_12" localSheetId="0">'GMIC_2020-Annu_SCDPT1'!$P$771</definedName>
    <definedName name="SCDPT1_3299999_13" localSheetId="0">'GMIC_2020-Annu_SCDPT1'!$Q$771</definedName>
    <definedName name="SCDPT1_3299999_14" localSheetId="0">'GMIC_2020-Annu_SCDPT1'!$R$771</definedName>
    <definedName name="SCDPT1_3299999_15" localSheetId="0">'GMIC_2020-Annu_SCDPT1'!$S$771</definedName>
    <definedName name="SCDPT1_3299999_19" localSheetId="0">'GMIC_2020-Annu_SCDPT1'!$W$771</definedName>
    <definedName name="SCDPT1_3299999_20" localSheetId="0">'GMIC_2020-Annu_SCDPT1'!$X$771</definedName>
    <definedName name="SCDPT1_3299999_7" localSheetId="0">'GMIC_2020-Annu_SCDPT1'!$K$771</definedName>
    <definedName name="SCDPT1_3299999_9" localSheetId="0">'GMIC_2020-Annu_SCDPT1'!$M$771</definedName>
    <definedName name="SCDPT1_32BEGIN_1" localSheetId="0">'GMIC_2020-Annu_SCDPT1'!$C$174</definedName>
    <definedName name="SCDPT1_32BEGIN_10" localSheetId="0">'GMIC_2020-Annu_SCDPT1'!$N$174</definedName>
    <definedName name="SCDPT1_32BEGIN_11" localSheetId="0">'GMIC_2020-Annu_SCDPT1'!$O$174</definedName>
    <definedName name="SCDPT1_32BEGIN_12" localSheetId="0">'GMIC_2020-Annu_SCDPT1'!$P$174</definedName>
    <definedName name="SCDPT1_32BEGIN_13" localSheetId="0">'GMIC_2020-Annu_SCDPT1'!$Q$174</definedName>
    <definedName name="SCDPT1_32BEGIN_14" localSheetId="0">'GMIC_2020-Annu_SCDPT1'!$R$174</definedName>
    <definedName name="SCDPT1_32BEGIN_15" localSheetId="0">'GMIC_2020-Annu_SCDPT1'!$S$174</definedName>
    <definedName name="SCDPT1_32BEGIN_16" localSheetId="0">'GMIC_2020-Annu_SCDPT1'!$T$174</definedName>
    <definedName name="SCDPT1_32BEGIN_17" localSheetId="0">'GMIC_2020-Annu_SCDPT1'!$U$174</definedName>
    <definedName name="SCDPT1_32BEGIN_18" localSheetId="0">'GMIC_2020-Annu_SCDPT1'!$V$174</definedName>
    <definedName name="SCDPT1_32BEGIN_19" localSheetId="0">'GMIC_2020-Annu_SCDPT1'!$W$174</definedName>
    <definedName name="SCDPT1_32BEGIN_2" localSheetId="0">'GMIC_2020-Annu_SCDPT1'!$D$174</definedName>
    <definedName name="SCDPT1_32BEGIN_20" localSheetId="0">'GMIC_2020-Annu_SCDPT1'!$X$174</definedName>
    <definedName name="SCDPT1_32BEGIN_21" localSheetId="0">'GMIC_2020-Annu_SCDPT1'!$Y$174</definedName>
    <definedName name="SCDPT1_32BEGIN_22" localSheetId="0">'GMIC_2020-Annu_SCDPT1'!$Z$174</definedName>
    <definedName name="SCDPT1_32BEGIN_23" localSheetId="0">'GMIC_2020-Annu_SCDPT1'!$AA$174</definedName>
    <definedName name="SCDPT1_32BEGIN_24" localSheetId="0">'GMIC_2020-Annu_SCDPT1'!$AB$174</definedName>
    <definedName name="SCDPT1_32BEGIN_25" localSheetId="0">'GMIC_2020-Annu_SCDPT1'!$AC$174</definedName>
    <definedName name="SCDPT1_32BEGIN_26" localSheetId="0">'GMIC_2020-Annu_SCDPT1'!$AD$174</definedName>
    <definedName name="SCDPT1_32BEGIN_27" localSheetId="0">'GMIC_2020-Annu_SCDPT1'!$AE$174</definedName>
    <definedName name="SCDPT1_32BEGIN_28" localSheetId="0">'GMIC_2020-Annu_SCDPT1'!$AF$174</definedName>
    <definedName name="SCDPT1_32BEGIN_29" localSheetId="0">'GMIC_2020-Annu_SCDPT1'!$AG$174</definedName>
    <definedName name="SCDPT1_32BEGIN_3" localSheetId="0">'GMIC_2020-Annu_SCDPT1'!$E$174</definedName>
    <definedName name="SCDPT1_32BEGIN_30" localSheetId="0">'GMIC_2020-Annu_SCDPT1'!$AH$174</definedName>
    <definedName name="SCDPT1_32BEGIN_31" localSheetId="0">'GMIC_2020-Annu_SCDPT1'!$AI$174</definedName>
    <definedName name="SCDPT1_32BEGIN_32" localSheetId="0">'GMIC_2020-Annu_SCDPT1'!$AJ$174</definedName>
    <definedName name="SCDPT1_32BEGIN_33" localSheetId="0">'GMIC_2020-Annu_SCDPT1'!$AK$174</definedName>
    <definedName name="SCDPT1_32BEGIN_34" localSheetId="0">'GMIC_2020-Annu_SCDPT1'!$AL$174</definedName>
    <definedName name="SCDPT1_32BEGIN_35" localSheetId="0">'GMIC_2020-Annu_SCDPT1'!$AM$174</definedName>
    <definedName name="SCDPT1_32BEGIN_4" localSheetId="0">'GMIC_2020-Annu_SCDPT1'!$F$174</definedName>
    <definedName name="SCDPT1_32BEGIN_5" localSheetId="0">'GMIC_2020-Annu_SCDPT1'!$G$174</definedName>
    <definedName name="SCDPT1_32BEGIN_6.01" localSheetId="0">'GMIC_2020-Annu_SCDPT1'!$H$174</definedName>
    <definedName name="SCDPT1_32BEGIN_6.02" localSheetId="0">'GMIC_2020-Annu_SCDPT1'!$I$174</definedName>
    <definedName name="SCDPT1_32BEGIN_6.03" localSheetId="0">'GMIC_2020-Annu_SCDPT1'!$J$174</definedName>
    <definedName name="SCDPT1_32BEGIN_7" localSheetId="0">'GMIC_2020-Annu_SCDPT1'!$K$174</definedName>
    <definedName name="SCDPT1_32BEGIN_8" localSheetId="0">'GMIC_2020-Annu_SCDPT1'!$L$174</definedName>
    <definedName name="SCDPT1_32BEGIN_9" localSheetId="0">'GMIC_2020-Annu_SCDPT1'!$M$174</definedName>
    <definedName name="SCDPT1_32ENDIN_10" localSheetId="0">'GMIC_2020-Annu_SCDPT1'!$N$770</definedName>
    <definedName name="SCDPT1_32ENDIN_11" localSheetId="0">'GMIC_2020-Annu_SCDPT1'!$O$770</definedName>
    <definedName name="SCDPT1_32ENDIN_12" localSheetId="0">'GMIC_2020-Annu_SCDPT1'!$P$770</definedName>
    <definedName name="SCDPT1_32ENDIN_13" localSheetId="0">'GMIC_2020-Annu_SCDPT1'!$Q$770</definedName>
    <definedName name="SCDPT1_32ENDIN_14" localSheetId="0">'GMIC_2020-Annu_SCDPT1'!$R$770</definedName>
    <definedName name="SCDPT1_32ENDIN_15" localSheetId="0">'GMIC_2020-Annu_SCDPT1'!$S$770</definedName>
    <definedName name="SCDPT1_32ENDIN_16" localSheetId="0">'GMIC_2020-Annu_SCDPT1'!$T$770</definedName>
    <definedName name="SCDPT1_32ENDIN_17" localSheetId="0">'GMIC_2020-Annu_SCDPT1'!$U$770</definedName>
    <definedName name="SCDPT1_32ENDIN_18" localSheetId="0">'GMIC_2020-Annu_SCDPT1'!$V$770</definedName>
    <definedName name="SCDPT1_32ENDIN_19" localSheetId="0">'GMIC_2020-Annu_SCDPT1'!$W$770</definedName>
    <definedName name="SCDPT1_32ENDIN_2" localSheetId="0">'GMIC_2020-Annu_SCDPT1'!$D$770</definedName>
    <definedName name="SCDPT1_32ENDIN_20" localSheetId="0">'GMIC_2020-Annu_SCDPT1'!$X$770</definedName>
    <definedName name="SCDPT1_32ENDIN_21" localSheetId="0">'GMIC_2020-Annu_SCDPT1'!$Y$770</definedName>
    <definedName name="SCDPT1_32ENDIN_22" localSheetId="0">'GMIC_2020-Annu_SCDPT1'!$Z$770</definedName>
    <definedName name="SCDPT1_32ENDIN_23" localSheetId="0">'GMIC_2020-Annu_SCDPT1'!$AA$770</definedName>
    <definedName name="SCDPT1_32ENDIN_24" localSheetId="0">'GMIC_2020-Annu_SCDPT1'!$AB$770</definedName>
    <definedName name="SCDPT1_32ENDIN_25" localSheetId="0">'GMIC_2020-Annu_SCDPT1'!$AC$770</definedName>
    <definedName name="SCDPT1_32ENDIN_26" localSheetId="0">'GMIC_2020-Annu_SCDPT1'!$AD$770</definedName>
    <definedName name="SCDPT1_32ENDIN_27" localSheetId="0">'GMIC_2020-Annu_SCDPT1'!$AE$770</definedName>
    <definedName name="SCDPT1_32ENDIN_28" localSheetId="0">'GMIC_2020-Annu_SCDPT1'!$AF$770</definedName>
    <definedName name="SCDPT1_32ENDIN_29" localSheetId="0">'GMIC_2020-Annu_SCDPT1'!$AG$770</definedName>
    <definedName name="SCDPT1_32ENDIN_3" localSheetId="0">'GMIC_2020-Annu_SCDPT1'!$E$770</definedName>
    <definedName name="SCDPT1_32ENDIN_30" localSheetId="0">'GMIC_2020-Annu_SCDPT1'!$AH$770</definedName>
    <definedName name="SCDPT1_32ENDIN_31" localSheetId="0">'GMIC_2020-Annu_SCDPT1'!$AI$770</definedName>
    <definedName name="SCDPT1_32ENDIN_32" localSheetId="0">'GMIC_2020-Annu_SCDPT1'!$AJ$770</definedName>
    <definedName name="SCDPT1_32ENDIN_33" localSheetId="0">'GMIC_2020-Annu_SCDPT1'!$AK$770</definedName>
    <definedName name="SCDPT1_32ENDIN_34" localSheetId="0">'GMIC_2020-Annu_SCDPT1'!$AL$770</definedName>
    <definedName name="SCDPT1_32ENDIN_35" localSheetId="0">'GMIC_2020-Annu_SCDPT1'!$AM$770</definedName>
    <definedName name="SCDPT1_32ENDIN_4" localSheetId="0">'GMIC_2020-Annu_SCDPT1'!$F$770</definedName>
    <definedName name="SCDPT1_32ENDIN_5" localSheetId="0">'GMIC_2020-Annu_SCDPT1'!$G$770</definedName>
    <definedName name="SCDPT1_32ENDIN_6.01" localSheetId="0">'GMIC_2020-Annu_SCDPT1'!$H$770</definedName>
    <definedName name="SCDPT1_32ENDIN_6.02" localSheetId="0">'GMIC_2020-Annu_SCDPT1'!$I$770</definedName>
    <definedName name="SCDPT1_32ENDIN_6.03" localSheetId="0">'GMIC_2020-Annu_SCDPT1'!$J$770</definedName>
    <definedName name="SCDPT1_32ENDIN_7" localSheetId="0">'GMIC_2020-Annu_SCDPT1'!$K$770</definedName>
    <definedName name="SCDPT1_32ENDIN_8" localSheetId="0">'GMIC_2020-Annu_SCDPT1'!$L$770</definedName>
    <definedName name="SCDPT1_32ENDIN_9" localSheetId="0">'GMIC_2020-Annu_SCDPT1'!$M$770</definedName>
    <definedName name="SCDPT1_3300000_Range" localSheetId="0">'GMIC_2020-Annu_SCDPT1'!$B$772:$AM$774</definedName>
    <definedName name="SCDPT1_3399999_10" localSheetId="0">'GMIC_2020-Annu_SCDPT1'!$N$775</definedName>
    <definedName name="SCDPT1_3399999_11" localSheetId="0">'GMIC_2020-Annu_SCDPT1'!$O$775</definedName>
    <definedName name="SCDPT1_3399999_12" localSheetId="0">'GMIC_2020-Annu_SCDPT1'!$P$775</definedName>
    <definedName name="SCDPT1_3399999_13" localSheetId="0">'GMIC_2020-Annu_SCDPT1'!$Q$775</definedName>
    <definedName name="SCDPT1_3399999_14" localSheetId="0">'GMIC_2020-Annu_SCDPT1'!$R$775</definedName>
    <definedName name="SCDPT1_3399999_15" localSheetId="0">'GMIC_2020-Annu_SCDPT1'!$S$775</definedName>
    <definedName name="SCDPT1_3399999_19" localSheetId="0">'GMIC_2020-Annu_SCDPT1'!$W$775</definedName>
    <definedName name="SCDPT1_3399999_20" localSheetId="0">'GMIC_2020-Annu_SCDPT1'!$X$775</definedName>
    <definedName name="SCDPT1_3399999_7" localSheetId="0">'GMIC_2020-Annu_SCDPT1'!$K$775</definedName>
    <definedName name="SCDPT1_3399999_9" localSheetId="0">'GMIC_2020-Annu_SCDPT1'!$M$775</definedName>
    <definedName name="SCDPT1_33BEGIN_1" localSheetId="0">'GMIC_2020-Annu_SCDPT1'!$C$772</definedName>
    <definedName name="SCDPT1_33BEGIN_10" localSheetId="0">'GMIC_2020-Annu_SCDPT1'!$N$772</definedName>
    <definedName name="SCDPT1_33BEGIN_11" localSheetId="0">'GMIC_2020-Annu_SCDPT1'!$O$772</definedName>
    <definedName name="SCDPT1_33BEGIN_12" localSheetId="0">'GMIC_2020-Annu_SCDPT1'!$P$772</definedName>
    <definedName name="SCDPT1_33BEGIN_13" localSheetId="0">'GMIC_2020-Annu_SCDPT1'!$Q$772</definedName>
    <definedName name="SCDPT1_33BEGIN_14" localSheetId="0">'GMIC_2020-Annu_SCDPT1'!$R$772</definedName>
    <definedName name="SCDPT1_33BEGIN_15" localSheetId="0">'GMIC_2020-Annu_SCDPT1'!$S$772</definedName>
    <definedName name="SCDPT1_33BEGIN_16" localSheetId="0">'GMIC_2020-Annu_SCDPT1'!$T$772</definedName>
    <definedName name="SCDPT1_33BEGIN_17" localSheetId="0">'GMIC_2020-Annu_SCDPT1'!$U$772</definedName>
    <definedName name="SCDPT1_33BEGIN_18" localSheetId="0">'GMIC_2020-Annu_SCDPT1'!$V$772</definedName>
    <definedName name="SCDPT1_33BEGIN_19" localSheetId="0">'GMIC_2020-Annu_SCDPT1'!$W$772</definedName>
    <definedName name="SCDPT1_33BEGIN_2" localSheetId="0">'GMIC_2020-Annu_SCDPT1'!$D$772</definedName>
    <definedName name="SCDPT1_33BEGIN_20" localSheetId="0">'GMIC_2020-Annu_SCDPT1'!$X$772</definedName>
    <definedName name="SCDPT1_33BEGIN_21" localSheetId="0">'GMIC_2020-Annu_SCDPT1'!$Y$772</definedName>
    <definedName name="SCDPT1_33BEGIN_22" localSheetId="0">'GMIC_2020-Annu_SCDPT1'!$Z$772</definedName>
    <definedName name="SCDPT1_33BEGIN_23" localSheetId="0">'GMIC_2020-Annu_SCDPT1'!$AA$772</definedName>
    <definedName name="SCDPT1_33BEGIN_24" localSheetId="0">'GMIC_2020-Annu_SCDPT1'!$AB$772</definedName>
    <definedName name="SCDPT1_33BEGIN_25" localSheetId="0">'GMIC_2020-Annu_SCDPT1'!$AC$772</definedName>
    <definedName name="SCDPT1_33BEGIN_26" localSheetId="0">'GMIC_2020-Annu_SCDPT1'!$AD$772</definedName>
    <definedName name="SCDPT1_33BEGIN_27" localSheetId="0">'GMIC_2020-Annu_SCDPT1'!$AE$772</definedName>
    <definedName name="SCDPT1_33BEGIN_28" localSheetId="0">'GMIC_2020-Annu_SCDPT1'!$AF$772</definedName>
    <definedName name="SCDPT1_33BEGIN_29" localSheetId="0">'GMIC_2020-Annu_SCDPT1'!$AG$772</definedName>
    <definedName name="SCDPT1_33BEGIN_3" localSheetId="0">'GMIC_2020-Annu_SCDPT1'!$E$772</definedName>
    <definedName name="SCDPT1_33BEGIN_30" localSheetId="0">'GMIC_2020-Annu_SCDPT1'!$AH$772</definedName>
    <definedName name="SCDPT1_33BEGIN_31" localSheetId="0">'GMIC_2020-Annu_SCDPT1'!$AI$772</definedName>
    <definedName name="SCDPT1_33BEGIN_32" localSheetId="0">'GMIC_2020-Annu_SCDPT1'!$AJ$772</definedName>
    <definedName name="SCDPT1_33BEGIN_33" localSheetId="0">'GMIC_2020-Annu_SCDPT1'!$AK$772</definedName>
    <definedName name="SCDPT1_33BEGIN_34" localSheetId="0">'GMIC_2020-Annu_SCDPT1'!$AL$772</definedName>
    <definedName name="SCDPT1_33BEGIN_35" localSheetId="0">'GMIC_2020-Annu_SCDPT1'!$AM$772</definedName>
    <definedName name="SCDPT1_33BEGIN_4" localSheetId="0">'GMIC_2020-Annu_SCDPT1'!$F$772</definedName>
    <definedName name="SCDPT1_33BEGIN_5" localSheetId="0">'GMIC_2020-Annu_SCDPT1'!$G$772</definedName>
    <definedName name="SCDPT1_33BEGIN_6.01" localSheetId="0">'GMIC_2020-Annu_SCDPT1'!$H$772</definedName>
    <definedName name="SCDPT1_33BEGIN_6.02" localSheetId="0">'GMIC_2020-Annu_SCDPT1'!$I$772</definedName>
    <definedName name="SCDPT1_33BEGIN_6.03" localSheetId="0">'GMIC_2020-Annu_SCDPT1'!$J$772</definedName>
    <definedName name="SCDPT1_33BEGIN_7" localSheetId="0">'GMIC_2020-Annu_SCDPT1'!$K$772</definedName>
    <definedName name="SCDPT1_33BEGIN_8" localSheetId="0">'GMIC_2020-Annu_SCDPT1'!$L$772</definedName>
    <definedName name="SCDPT1_33BEGIN_9" localSheetId="0">'GMIC_2020-Annu_SCDPT1'!$M$772</definedName>
    <definedName name="SCDPT1_33ENDIN_10" localSheetId="0">'GMIC_2020-Annu_SCDPT1'!$N$774</definedName>
    <definedName name="SCDPT1_33ENDIN_11" localSheetId="0">'GMIC_2020-Annu_SCDPT1'!$O$774</definedName>
    <definedName name="SCDPT1_33ENDIN_12" localSheetId="0">'GMIC_2020-Annu_SCDPT1'!$P$774</definedName>
    <definedName name="SCDPT1_33ENDIN_13" localSheetId="0">'GMIC_2020-Annu_SCDPT1'!$Q$774</definedName>
    <definedName name="SCDPT1_33ENDIN_14" localSheetId="0">'GMIC_2020-Annu_SCDPT1'!$R$774</definedName>
    <definedName name="SCDPT1_33ENDIN_15" localSheetId="0">'GMIC_2020-Annu_SCDPT1'!$S$774</definedName>
    <definedName name="SCDPT1_33ENDIN_16" localSheetId="0">'GMIC_2020-Annu_SCDPT1'!$T$774</definedName>
    <definedName name="SCDPT1_33ENDIN_17" localSheetId="0">'GMIC_2020-Annu_SCDPT1'!$U$774</definedName>
    <definedName name="SCDPT1_33ENDIN_18" localSheetId="0">'GMIC_2020-Annu_SCDPT1'!$V$774</definedName>
    <definedName name="SCDPT1_33ENDIN_19" localSheetId="0">'GMIC_2020-Annu_SCDPT1'!$W$774</definedName>
    <definedName name="SCDPT1_33ENDIN_2" localSheetId="0">'GMIC_2020-Annu_SCDPT1'!$D$774</definedName>
    <definedName name="SCDPT1_33ENDIN_20" localSheetId="0">'GMIC_2020-Annu_SCDPT1'!$X$774</definedName>
    <definedName name="SCDPT1_33ENDIN_21" localSheetId="0">'GMIC_2020-Annu_SCDPT1'!$Y$774</definedName>
    <definedName name="SCDPT1_33ENDIN_22" localSheetId="0">'GMIC_2020-Annu_SCDPT1'!$Z$774</definedName>
    <definedName name="SCDPT1_33ENDIN_23" localSheetId="0">'GMIC_2020-Annu_SCDPT1'!$AA$774</definedName>
    <definedName name="SCDPT1_33ENDIN_24" localSheetId="0">'GMIC_2020-Annu_SCDPT1'!$AB$774</definedName>
    <definedName name="SCDPT1_33ENDIN_25" localSheetId="0">'GMIC_2020-Annu_SCDPT1'!$AC$774</definedName>
    <definedName name="SCDPT1_33ENDIN_26" localSheetId="0">'GMIC_2020-Annu_SCDPT1'!$AD$774</definedName>
    <definedName name="SCDPT1_33ENDIN_27" localSheetId="0">'GMIC_2020-Annu_SCDPT1'!$AE$774</definedName>
    <definedName name="SCDPT1_33ENDIN_28" localSheetId="0">'GMIC_2020-Annu_SCDPT1'!$AF$774</definedName>
    <definedName name="SCDPT1_33ENDIN_29" localSheetId="0">'GMIC_2020-Annu_SCDPT1'!$AG$774</definedName>
    <definedName name="SCDPT1_33ENDIN_3" localSheetId="0">'GMIC_2020-Annu_SCDPT1'!$E$774</definedName>
    <definedName name="SCDPT1_33ENDIN_30" localSheetId="0">'GMIC_2020-Annu_SCDPT1'!$AH$774</definedName>
    <definedName name="SCDPT1_33ENDIN_31" localSheetId="0">'GMIC_2020-Annu_SCDPT1'!$AI$774</definedName>
    <definedName name="SCDPT1_33ENDIN_32" localSheetId="0">'GMIC_2020-Annu_SCDPT1'!$AJ$774</definedName>
    <definedName name="SCDPT1_33ENDIN_33" localSheetId="0">'GMIC_2020-Annu_SCDPT1'!$AK$774</definedName>
    <definedName name="SCDPT1_33ENDIN_34" localSheetId="0">'GMIC_2020-Annu_SCDPT1'!$AL$774</definedName>
    <definedName name="SCDPT1_33ENDIN_35" localSheetId="0">'GMIC_2020-Annu_SCDPT1'!$AM$774</definedName>
    <definedName name="SCDPT1_33ENDIN_4" localSheetId="0">'GMIC_2020-Annu_SCDPT1'!$F$774</definedName>
    <definedName name="SCDPT1_33ENDIN_5" localSheetId="0">'GMIC_2020-Annu_SCDPT1'!$G$774</definedName>
    <definedName name="SCDPT1_33ENDIN_6.01" localSheetId="0">'GMIC_2020-Annu_SCDPT1'!$H$774</definedName>
    <definedName name="SCDPT1_33ENDIN_6.02" localSheetId="0">'GMIC_2020-Annu_SCDPT1'!$I$774</definedName>
    <definedName name="SCDPT1_33ENDIN_6.03" localSheetId="0">'GMIC_2020-Annu_SCDPT1'!$J$774</definedName>
    <definedName name="SCDPT1_33ENDIN_7" localSheetId="0">'GMIC_2020-Annu_SCDPT1'!$K$774</definedName>
    <definedName name="SCDPT1_33ENDIN_8" localSheetId="0">'GMIC_2020-Annu_SCDPT1'!$L$774</definedName>
    <definedName name="SCDPT1_33ENDIN_9" localSheetId="0">'GMIC_2020-Annu_SCDPT1'!$M$774</definedName>
    <definedName name="SCDPT1_3400000_Range" localSheetId="0">'GMIC_2020-Annu_SCDPT1'!$B$776:$AM$778</definedName>
    <definedName name="SCDPT1_3499999_10" localSheetId="0">'GMIC_2020-Annu_SCDPT1'!$N$779</definedName>
    <definedName name="SCDPT1_3499999_11" localSheetId="0">'GMIC_2020-Annu_SCDPT1'!$O$779</definedName>
    <definedName name="SCDPT1_3499999_12" localSheetId="0">'GMIC_2020-Annu_SCDPT1'!$P$779</definedName>
    <definedName name="SCDPT1_3499999_13" localSheetId="0">'GMIC_2020-Annu_SCDPT1'!$Q$779</definedName>
    <definedName name="SCDPT1_3499999_14" localSheetId="0">'GMIC_2020-Annu_SCDPT1'!$R$779</definedName>
    <definedName name="SCDPT1_3499999_15" localSheetId="0">'GMIC_2020-Annu_SCDPT1'!$S$779</definedName>
    <definedName name="SCDPT1_3499999_19" localSheetId="0">'GMIC_2020-Annu_SCDPT1'!$W$779</definedName>
    <definedName name="SCDPT1_3499999_20" localSheetId="0">'GMIC_2020-Annu_SCDPT1'!$X$779</definedName>
    <definedName name="SCDPT1_3499999_7" localSheetId="0">'GMIC_2020-Annu_SCDPT1'!$K$779</definedName>
    <definedName name="SCDPT1_3499999_9" localSheetId="0">'GMIC_2020-Annu_SCDPT1'!$M$779</definedName>
    <definedName name="SCDPT1_34BEGIN_1" localSheetId="0">'GMIC_2020-Annu_SCDPT1'!$C$776</definedName>
    <definedName name="SCDPT1_34BEGIN_10" localSheetId="0">'GMIC_2020-Annu_SCDPT1'!$N$776</definedName>
    <definedName name="SCDPT1_34BEGIN_11" localSheetId="0">'GMIC_2020-Annu_SCDPT1'!$O$776</definedName>
    <definedName name="SCDPT1_34BEGIN_12" localSheetId="0">'GMIC_2020-Annu_SCDPT1'!$P$776</definedName>
    <definedName name="SCDPT1_34BEGIN_13" localSheetId="0">'GMIC_2020-Annu_SCDPT1'!$Q$776</definedName>
    <definedName name="SCDPT1_34BEGIN_14" localSheetId="0">'GMIC_2020-Annu_SCDPT1'!$R$776</definedName>
    <definedName name="SCDPT1_34BEGIN_15" localSheetId="0">'GMIC_2020-Annu_SCDPT1'!$S$776</definedName>
    <definedName name="SCDPT1_34BEGIN_16" localSheetId="0">'GMIC_2020-Annu_SCDPT1'!$T$776</definedName>
    <definedName name="SCDPT1_34BEGIN_17" localSheetId="0">'GMIC_2020-Annu_SCDPT1'!$U$776</definedName>
    <definedName name="SCDPT1_34BEGIN_18" localSheetId="0">'GMIC_2020-Annu_SCDPT1'!$V$776</definedName>
    <definedName name="SCDPT1_34BEGIN_19" localSheetId="0">'GMIC_2020-Annu_SCDPT1'!$W$776</definedName>
    <definedName name="SCDPT1_34BEGIN_2" localSheetId="0">'GMIC_2020-Annu_SCDPT1'!$D$776</definedName>
    <definedName name="SCDPT1_34BEGIN_20" localSheetId="0">'GMIC_2020-Annu_SCDPT1'!$X$776</definedName>
    <definedName name="SCDPT1_34BEGIN_21" localSheetId="0">'GMIC_2020-Annu_SCDPT1'!$Y$776</definedName>
    <definedName name="SCDPT1_34BEGIN_22" localSheetId="0">'GMIC_2020-Annu_SCDPT1'!$Z$776</definedName>
    <definedName name="SCDPT1_34BEGIN_23" localSheetId="0">'GMIC_2020-Annu_SCDPT1'!$AA$776</definedName>
    <definedName name="SCDPT1_34BEGIN_24" localSheetId="0">'GMIC_2020-Annu_SCDPT1'!$AB$776</definedName>
    <definedName name="SCDPT1_34BEGIN_25" localSheetId="0">'GMIC_2020-Annu_SCDPT1'!$AC$776</definedName>
    <definedName name="SCDPT1_34BEGIN_26" localSheetId="0">'GMIC_2020-Annu_SCDPT1'!$AD$776</definedName>
    <definedName name="SCDPT1_34BEGIN_27" localSheetId="0">'GMIC_2020-Annu_SCDPT1'!$AE$776</definedName>
    <definedName name="SCDPT1_34BEGIN_28" localSheetId="0">'GMIC_2020-Annu_SCDPT1'!$AF$776</definedName>
    <definedName name="SCDPT1_34BEGIN_29" localSheetId="0">'GMIC_2020-Annu_SCDPT1'!$AG$776</definedName>
    <definedName name="SCDPT1_34BEGIN_3" localSheetId="0">'GMIC_2020-Annu_SCDPT1'!$E$776</definedName>
    <definedName name="SCDPT1_34BEGIN_30" localSheetId="0">'GMIC_2020-Annu_SCDPT1'!$AH$776</definedName>
    <definedName name="SCDPT1_34BEGIN_31" localSheetId="0">'GMIC_2020-Annu_SCDPT1'!$AI$776</definedName>
    <definedName name="SCDPT1_34BEGIN_32" localSheetId="0">'GMIC_2020-Annu_SCDPT1'!$AJ$776</definedName>
    <definedName name="SCDPT1_34BEGIN_33" localSheetId="0">'GMIC_2020-Annu_SCDPT1'!$AK$776</definedName>
    <definedName name="SCDPT1_34BEGIN_34" localSheetId="0">'GMIC_2020-Annu_SCDPT1'!$AL$776</definedName>
    <definedName name="SCDPT1_34BEGIN_35" localSheetId="0">'GMIC_2020-Annu_SCDPT1'!$AM$776</definedName>
    <definedName name="SCDPT1_34BEGIN_4" localSheetId="0">'GMIC_2020-Annu_SCDPT1'!$F$776</definedName>
    <definedName name="SCDPT1_34BEGIN_5" localSheetId="0">'GMIC_2020-Annu_SCDPT1'!$G$776</definedName>
    <definedName name="SCDPT1_34BEGIN_6.01" localSheetId="0">'GMIC_2020-Annu_SCDPT1'!$H$776</definedName>
    <definedName name="SCDPT1_34BEGIN_6.02" localSheetId="0">'GMIC_2020-Annu_SCDPT1'!$I$776</definedName>
    <definedName name="SCDPT1_34BEGIN_6.03" localSheetId="0">'GMIC_2020-Annu_SCDPT1'!$J$776</definedName>
    <definedName name="SCDPT1_34BEGIN_7" localSheetId="0">'GMIC_2020-Annu_SCDPT1'!$K$776</definedName>
    <definedName name="SCDPT1_34BEGIN_8" localSheetId="0">'GMIC_2020-Annu_SCDPT1'!$L$776</definedName>
    <definedName name="SCDPT1_34BEGIN_9" localSheetId="0">'GMIC_2020-Annu_SCDPT1'!$M$776</definedName>
    <definedName name="SCDPT1_34ENDIN_10" localSheetId="0">'GMIC_2020-Annu_SCDPT1'!$N$778</definedName>
    <definedName name="SCDPT1_34ENDIN_11" localSheetId="0">'GMIC_2020-Annu_SCDPT1'!$O$778</definedName>
    <definedName name="SCDPT1_34ENDIN_12" localSheetId="0">'GMIC_2020-Annu_SCDPT1'!$P$778</definedName>
    <definedName name="SCDPT1_34ENDIN_13" localSheetId="0">'GMIC_2020-Annu_SCDPT1'!$Q$778</definedName>
    <definedName name="SCDPT1_34ENDIN_14" localSheetId="0">'GMIC_2020-Annu_SCDPT1'!$R$778</definedName>
    <definedName name="SCDPT1_34ENDIN_15" localSheetId="0">'GMIC_2020-Annu_SCDPT1'!$S$778</definedName>
    <definedName name="SCDPT1_34ENDIN_16" localSheetId="0">'GMIC_2020-Annu_SCDPT1'!$T$778</definedName>
    <definedName name="SCDPT1_34ENDIN_17" localSheetId="0">'GMIC_2020-Annu_SCDPT1'!$U$778</definedName>
    <definedName name="SCDPT1_34ENDIN_18" localSheetId="0">'GMIC_2020-Annu_SCDPT1'!$V$778</definedName>
    <definedName name="SCDPT1_34ENDIN_19" localSheetId="0">'GMIC_2020-Annu_SCDPT1'!$W$778</definedName>
    <definedName name="SCDPT1_34ENDIN_2" localSheetId="0">'GMIC_2020-Annu_SCDPT1'!$D$778</definedName>
    <definedName name="SCDPT1_34ENDIN_20" localSheetId="0">'GMIC_2020-Annu_SCDPT1'!$X$778</definedName>
    <definedName name="SCDPT1_34ENDIN_21" localSheetId="0">'GMIC_2020-Annu_SCDPT1'!$Y$778</definedName>
    <definedName name="SCDPT1_34ENDIN_22" localSheetId="0">'GMIC_2020-Annu_SCDPT1'!$Z$778</definedName>
    <definedName name="SCDPT1_34ENDIN_23" localSheetId="0">'GMIC_2020-Annu_SCDPT1'!$AA$778</definedName>
    <definedName name="SCDPT1_34ENDIN_24" localSheetId="0">'GMIC_2020-Annu_SCDPT1'!$AB$778</definedName>
    <definedName name="SCDPT1_34ENDIN_25" localSheetId="0">'GMIC_2020-Annu_SCDPT1'!$AC$778</definedName>
    <definedName name="SCDPT1_34ENDIN_26" localSheetId="0">'GMIC_2020-Annu_SCDPT1'!$AD$778</definedName>
    <definedName name="SCDPT1_34ENDIN_27" localSheetId="0">'GMIC_2020-Annu_SCDPT1'!$AE$778</definedName>
    <definedName name="SCDPT1_34ENDIN_28" localSheetId="0">'GMIC_2020-Annu_SCDPT1'!$AF$778</definedName>
    <definedName name="SCDPT1_34ENDIN_29" localSheetId="0">'GMIC_2020-Annu_SCDPT1'!$AG$778</definedName>
    <definedName name="SCDPT1_34ENDIN_3" localSheetId="0">'GMIC_2020-Annu_SCDPT1'!$E$778</definedName>
    <definedName name="SCDPT1_34ENDIN_30" localSheetId="0">'GMIC_2020-Annu_SCDPT1'!$AH$778</definedName>
    <definedName name="SCDPT1_34ENDIN_31" localSheetId="0">'GMIC_2020-Annu_SCDPT1'!$AI$778</definedName>
    <definedName name="SCDPT1_34ENDIN_32" localSheetId="0">'GMIC_2020-Annu_SCDPT1'!$AJ$778</definedName>
    <definedName name="SCDPT1_34ENDIN_33" localSheetId="0">'GMIC_2020-Annu_SCDPT1'!$AK$778</definedName>
    <definedName name="SCDPT1_34ENDIN_34" localSheetId="0">'GMIC_2020-Annu_SCDPT1'!$AL$778</definedName>
    <definedName name="SCDPT1_34ENDIN_35" localSheetId="0">'GMIC_2020-Annu_SCDPT1'!$AM$778</definedName>
    <definedName name="SCDPT1_34ENDIN_4" localSheetId="0">'GMIC_2020-Annu_SCDPT1'!$F$778</definedName>
    <definedName name="SCDPT1_34ENDIN_5" localSheetId="0">'GMIC_2020-Annu_SCDPT1'!$G$778</definedName>
    <definedName name="SCDPT1_34ENDIN_6.01" localSheetId="0">'GMIC_2020-Annu_SCDPT1'!$H$778</definedName>
    <definedName name="SCDPT1_34ENDIN_6.02" localSheetId="0">'GMIC_2020-Annu_SCDPT1'!$I$778</definedName>
    <definedName name="SCDPT1_34ENDIN_6.03" localSheetId="0">'GMIC_2020-Annu_SCDPT1'!$J$778</definedName>
    <definedName name="SCDPT1_34ENDIN_7" localSheetId="0">'GMIC_2020-Annu_SCDPT1'!$K$778</definedName>
    <definedName name="SCDPT1_34ENDIN_8" localSheetId="0">'GMIC_2020-Annu_SCDPT1'!$L$778</definedName>
    <definedName name="SCDPT1_34ENDIN_9" localSheetId="0">'GMIC_2020-Annu_SCDPT1'!$M$778</definedName>
    <definedName name="SCDPT1_3500000_Range" localSheetId="0">'GMIC_2020-Annu_SCDPT1'!$B$780:$AM$1021</definedName>
    <definedName name="SCDPT1_3500001_1" localSheetId="0">'GMIC_2020-Annu_SCDPT1'!$C$781</definedName>
    <definedName name="SCDPT1_3500001_10" localSheetId="0">'GMIC_2020-Annu_SCDPT1'!$N$781</definedName>
    <definedName name="SCDPT1_3500001_11" localSheetId="0">'GMIC_2020-Annu_SCDPT1'!$O$781</definedName>
    <definedName name="SCDPT1_3500001_12" localSheetId="0">'GMIC_2020-Annu_SCDPT1'!$P$781</definedName>
    <definedName name="SCDPT1_3500001_13" localSheetId="0">'GMIC_2020-Annu_SCDPT1'!$Q$781</definedName>
    <definedName name="SCDPT1_3500001_14" localSheetId="0">'GMIC_2020-Annu_SCDPT1'!$R$781</definedName>
    <definedName name="SCDPT1_3500001_15" localSheetId="0">'GMIC_2020-Annu_SCDPT1'!$S$781</definedName>
    <definedName name="SCDPT1_3500001_16" localSheetId="0">'GMIC_2020-Annu_SCDPT1'!$T$781</definedName>
    <definedName name="SCDPT1_3500001_17" localSheetId="0">'GMIC_2020-Annu_SCDPT1'!$U$781</definedName>
    <definedName name="SCDPT1_3500001_18" localSheetId="0">'GMIC_2020-Annu_SCDPT1'!$V$781</definedName>
    <definedName name="SCDPT1_3500001_19" localSheetId="0">'GMIC_2020-Annu_SCDPT1'!$W$781</definedName>
    <definedName name="SCDPT1_3500001_2" localSheetId="0">'GMIC_2020-Annu_SCDPT1'!$D$781</definedName>
    <definedName name="SCDPT1_3500001_20" localSheetId="0">'GMIC_2020-Annu_SCDPT1'!$X$781</definedName>
    <definedName name="SCDPT1_3500001_21" localSheetId="0">'GMIC_2020-Annu_SCDPT1'!$Y$781</definedName>
    <definedName name="SCDPT1_3500001_22" localSheetId="0">'GMIC_2020-Annu_SCDPT1'!$Z$781</definedName>
    <definedName name="SCDPT1_3500001_24" localSheetId="0">'GMIC_2020-Annu_SCDPT1'!$AB$781</definedName>
    <definedName name="SCDPT1_3500001_25" localSheetId="0">'GMIC_2020-Annu_SCDPT1'!$AC$781</definedName>
    <definedName name="SCDPT1_3500001_26" localSheetId="0">'GMIC_2020-Annu_SCDPT1'!$AD$781</definedName>
    <definedName name="SCDPT1_3500001_27" localSheetId="0">'GMIC_2020-Annu_SCDPT1'!$AE$781</definedName>
    <definedName name="SCDPT1_3500001_28" localSheetId="0">'GMIC_2020-Annu_SCDPT1'!$AF$781</definedName>
    <definedName name="SCDPT1_3500001_29" localSheetId="0">'GMIC_2020-Annu_SCDPT1'!$AG$781</definedName>
    <definedName name="SCDPT1_3500001_3" localSheetId="0">'GMIC_2020-Annu_SCDPT1'!$E$781</definedName>
    <definedName name="SCDPT1_3500001_30" localSheetId="0">'GMIC_2020-Annu_SCDPT1'!$AH$781</definedName>
    <definedName name="SCDPT1_3500001_31" localSheetId="0">'GMIC_2020-Annu_SCDPT1'!$AI$781</definedName>
    <definedName name="SCDPT1_3500001_32" localSheetId="0">'GMIC_2020-Annu_SCDPT1'!$AJ$781</definedName>
    <definedName name="SCDPT1_3500001_33" localSheetId="0">'GMIC_2020-Annu_SCDPT1'!$AK$781</definedName>
    <definedName name="SCDPT1_3500001_34" localSheetId="0">'GMIC_2020-Annu_SCDPT1'!$AL$781</definedName>
    <definedName name="SCDPT1_3500001_35" localSheetId="0">'GMIC_2020-Annu_SCDPT1'!$AM$781</definedName>
    <definedName name="SCDPT1_3500001_4" localSheetId="0">'GMIC_2020-Annu_SCDPT1'!$F$781</definedName>
    <definedName name="SCDPT1_3500001_5" localSheetId="0">'GMIC_2020-Annu_SCDPT1'!$G$781</definedName>
    <definedName name="SCDPT1_3500001_6.01" localSheetId="0">'GMIC_2020-Annu_SCDPT1'!$H$781</definedName>
    <definedName name="SCDPT1_3500001_6.02" localSheetId="0">'GMIC_2020-Annu_SCDPT1'!$I$781</definedName>
    <definedName name="SCDPT1_3500001_6.03" localSheetId="0">'GMIC_2020-Annu_SCDPT1'!$J$781</definedName>
    <definedName name="SCDPT1_3500001_7" localSheetId="0">'GMIC_2020-Annu_SCDPT1'!$K$781</definedName>
    <definedName name="SCDPT1_3500001_8" localSheetId="0">'GMIC_2020-Annu_SCDPT1'!$L$781</definedName>
    <definedName name="SCDPT1_3500001_9" localSheetId="0">'GMIC_2020-Annu_SCDPT1'!$M$781</definedName>
    <definedName name="SCDPT1_3599999_10" localSheetId="0">'GMIC_2020-Annu_SCDPT1'!$N$1022</definedName>
    <definedName name="SCDPT1_3599999_11" localSheetId="0">'GMIC_2020-Annu_SCDPT1'!$O$1022</definedName>
    <definedName name="SCDPT1_3599999_12" localSheetId="0">'GMIC_2020-Annu_SCDPT1'!$P$1022</definedName>
    <definedName name="SCDPT1_3599999_13" localSheetId="0">'GMIC_2020-Annu_SCDPT1'!$Q$1022</definedName>
    <definedName name="SCDPT1_3599999_14" localSheetId="0">'GMIC_2020-Annu_SCDPT1'!$R$1022</definedName>
    <definedName name="SCDPT1_3599999_15" localSheetId="0">'GMIC_2020-Annu_SCDPT1'!$S$1022</definedName>
    <definedName name="SCDPT1_3599999_19" localSheetId="0">'GMIC_2020-Annu_SCDPT1'!$W$1022</definedName>
    <definedName name="SCDPT1_3599999_20" localSheetId="0">'GMIC_2020-Annu_SCDPT1'!$X$1022</definedName>
    <definedName name="SCDPT1_3599999_7" localSheetId="0">'GMIC_2020-Annu_SCDPT1'!$K$1022</definedName>
    <definedName name="SCDPT1_3599999_9" localSheetId="0">'GMIC_2020-Annu_SCDPT1'!$M$1022</definedName>
    <definedName name="SCDPT1_35BEGIN_1" localSheetId="0">'GMIC_2020-Annu_SCDPT1'!$C$780</definedName>
    <definedName name="SCDPT1_35BEGIN_10" localSheetId="0">'GMIC_2020-Annu_SCDPT1'!$N$780</definedName>
    <definedName name="SCDPT1_35BEGIN_11" localSheetId="0">'GMIC_2020-Annu_SCDPT1'!$O$780</definedName>
    <definedName name="SCDPT1_35BEGIN_12" localSheetId="0">'GMIC_2020-Annu_SCDPT1'!$P$780</definedName>
    <definedName name="SCDPT1_35BEGIN_13" localSheetId="0">'GMIC_2020-Annu_SCDPT1'!$Q$780</definedName>
    <definedName name="SCDPT1_35BEGIN_14" localSheetId="0">'GMIC_2020-Annu_SCDPT1'!$R$780</definedName>
    <definedName name="SCDPT1_35BEGIN_15" localSheetId="0">'GMIC_2020-Annu_SCDPT1'!$S$780</definedName>
    <definedName name="SCDPT1_35BEGIN_16" localSheetId="0">'GMIC_2020-Annu_SCDPT1'!$T$780</definedName>
    <definedName name="SCDPT1_35BEGIN_17" localSheetId="0">'GMIC_2020-Annu_SCDPT1'!$U$780</definedName>
    <definedName name="SCDPT1_35BEGIN_18" localSheetId="0">'GMIC_2020-Annu_SCDPT1'!$V$780</definedName>
    <definedName name="SCDPT1_35BEGIN_19" localSheetId="0">'GMIC_2020-Annu_SCDPT1'!$W$780</definedName>
    <definedName name="SCDPT1_35BEGIN_2" localSheetId="0">'GMIC_2020-Annu_SCDPT1'!$D$780</definedName>
    <definedName name="SCDPT1_35BEGIN_20" localSheetId="0">'GMIC_2020-Annu_SCDPT1'!$X$780</definedName>
    <definedName name="SCDPT1_35BEGIN_21" localSheetId="0">'GMIC_2020-Annu_SCDPT1'!$Y$780</definedName>
    <definedName name="SCDPT1_35BEGIN_22" localSheetId="0">'GMIC_2020-Annu_SCDPT1'!$Z$780</definedName>
    <definedName name="SCDPT1_35BEGIN_23" localSheetId="0">'GMIC_2020-Annu_SCDPT1'!$AA$780</definedName>
    <definedName name="SCDPT1_35BEGIN_24" localSheetId="0">'GMIC_2020-Annu_SCDPT1'!$AB$780</definedName>
    <definedName name="SCDPT1_35BEGIN_25" localSheetId="0">'GMIC_2020-Annu_SCDPT1'!$AC$780</definedName>
    <definedName name="SCDPT1_35BEGIN_26" localSheetId="0">'GMIC_2020-Annu_SCDPT1'!$AD$780</definedName>
    <definedName name="SCDPT1_35BEGIN_27" localSheetId="0">'GMIC_2020-Annu_SCDPT1'!$AE$780</definedName>
    <definedName name="SCDPT1_35BEGIN_28" localSheetId="0">'GMIC_2020-Annu_SCDPT1'!$AF$780</definedName>
    <definedName name="SCDPT1_35BEGIN_29" localSheetId="0">'GMIC_2020-Annu_SCDPT1'!$AG$780</definedName>
    <definedName name="SCDPT1_35BEGIN_3" localSheetId="0">'GMIC_2020-Annu_SCDPT1'!$E$780</definedName>
    <definedName name="SCDPT1_35BEGIN_30" localSheetId="0">'GMIC_2020-Annu_SCDPT1'!$AH$780</definedName>
    <definedName name="SCDPT1_35BEGIN_31" localSheetId="0">'GMIC_2020-Annu_SCDPT1'!$AI$780</definedName>
    <definedName name="SCDPT1_35BEGIN_32" localSheetId="0">'GMIC_2020-Annu_SCDPT1'!$AJ$780</definedName>
    <definedName name="SCDPT1_35BEGIN_33" localSheetId="0">'GMIC_2020-Annu_SCDPT1'!$AK$780</definedName>
    <definedName name="SCDPT1_35BEGIN_34" localSheetId="0">'GMIC_2020-Annu_SCDPT1'!$AL$780</definedName>
    <definedName name="SCDPT1_35BEGIN_35" localSheetId="0">'GMIC_2020-Annu_SCDPT1'!$AM$780</definedName>
    <definedName name="SCDPT1_35BEGIN_4" localSheetId="0">'GMIC_2020-Annu_SCDPT1'!$F$780</definedName>
    <definedName name="SCDPT1_35BEGIN_5" localSheetId="0">'GMIC_2020-Annu_SCDPT1'!$G$780</definedName>
    <definedName name="SCDPT1_35BEGIN_6.01" localSheetId="0">'GMIC_2020-Annu_SCDPT1'!$H$780</definedName>
    <definedName name="SCDPT1_35BEGIN_6.02" localSheetId="0">'GMIC_2020-Annu_SCDPT1'!$I$780</definedName>
    <definedName name="SCDPT1_35BEGIN_6.03" localSheetId="0">'GMIC_2020-Annu_SCDPT1'!$J$780</definedName>
    <definedName name="SCDPT1_35BEGIN_7" localSheetId="0">'GMIC_2020-Annu_SCDPT1'!$K$780</definedName>
    <definedName name="SCDPT1_35BEGIN_8" localSheetId="0">'GMIC_2020-Annu_SCDPT1'!$L$780</definedName>
    <definedName name="SCDPT1_35BEGIN_9" localSheetId="0">'GMIC_2020-Annu_SCDPT1'!$M$780</definedName>
    <definedName name="SCDPT1_35ENDIN_10" localSheetId="0">'GMIC_2020-Annu_SCDPT1'!$N$1021</definedName>
    <definedName name="SCDPT1_35ENDIN_11" localSheetId="0">'GMIC_2020-Annu_SCDPT1'!$O$1021</definedName>
    <definedName name="SCDPT1_35ENDIN_12" localSheetId="0">'GMIC_2020-Annu_SCDPT1'!$P$1021</definedName>
    <definedName name="SCDPT1_35ENDIN_13" localSheetId="0">'GMIC_2020-Annu_SCDPT1'!$Q$1021</definedName>
    <definedName name="SCDPT1_35ENDIN_14" localSheetId="0">'GMIC_2020-Annu_SCDPT1'!$R$1021</definedName>
    <definedName name="SCDPT1_35ENDIN_15" localSheetId="0">'GMIC_2020-Annu_SCDPT1'!$S$1021</definedName>
    <definedName name="SCDPT1_35ENDIN_16" localSheetId="0">'GMIC_2020-Annu_SCDPT1'!$T$1021</definedName>
    <definedName name="SCDPT1_35ENDIN_17" localSheetId="0">'GMIC_2020-Annu_SCDPT1'!$U$1021</definedName>
    <definedName name="SCDPT1_35ENDIN_18" localSheetId="0">'GMIC_2020-Annu_SCDPT1'!$V$1021</definedName>
    <definedName name="SCDPT1_35ENDIN_19" localSheetId="0">'GMIC_2020-Annu_SCDPT1'!$W$1021</definedName>
    <definedName name="SCDPT1_35ENDIN_2" localSheetId="0">'GMIC_2020-Annu_SCDPT1'!$D$1021</definedName>
    <definedName name="SCDPT1_35ENDIN_20" localSheetId="0">'GMIC_2020-Annu_SCDPT1'!$X$1021</definedName>
    <definedName name="SCDPT1_35ENDIN_21" localSheetId="0">'GMIC_2020-Annu_SCDPT1'!$Y$1021</definedName>
    <definedName name="SCDPT1_35ENDIN_22" localSheetId="0">'GMIC_2020-Annu_SCDPT1'!$Z$1021</definedName>
    <definedName name="SCDPT1_35ENDIN_23" localSheetId="0">'GMIC_2020-Annu_SCDPT1'!$AA$1021</definedName>
    <definedName name="SCDPT1_35ENDIN_24" localSheetId="0">'GMIC_2020-Annu_SCDPT1'!$AB$1021</definedName>
    <definedName name="SCDPT1_35ENDIN_25" localSheetId="0">'GMIC_2020-Annu_SCDPT1'!$AC$1021</definedName>
    <definedName name="SCDPT1_35ENDIN_26" localSheetId="0">'GMIC_2020-Annu_SCDPT1'!$AD$1021</definedName>
    <definedName name="SCDPT1_35ENDIN_27" localSheetId="0">'GMIC_2020-Annu_SCDPT1'!$AE$1021</definedName>
    <definedName name="SCDPT1_35ENDIN_28" localSheetId="0">'GMIC_2020-Annu_SCDPT1'!$AF$1021</definedName>
    <definedName name="SCDPT1_35ENDIN_29" localSheetId="0">'GMIC_2020-Annu_SCDPT1'!$AG$1021</definedName>
    <definedName name="SCDPT1_35ENDIN_3" localSheetId="0">'GMIC_2020-Annu_SCDPT1'!$E$1021</definedName>
    <definedName name="SCDPT1_35ENDIN_30" localSheetId="0">'GMIC_2020-Annu_SCDPT1'!$AH$1021</definedName>
    <definedName name="SCDPT1_35ENDIN_31" localSheetId="0">'GMIC_2020-Annu_SCDPT1'!$AI$1021</definedName>
    <definedName name="SCDPT1_35ENDIN_32" localSheetId="0">'GMIC_2020-Annu_SCDPT1'!$AJ$1021</definedName>
    <definedName name="SCDPT1_35ENDIN_33" localSheetId="0">'GMIC_2020-Annu_SCDPT1'!$AK$1021</definedName>
    <definedName name="SCDPT1_35ENDIN_34" localSheetId="0">'GMIC_2020-Annu_SCDPT1'!$AL$1021</definedName>
    <definedName name="SCDPT1_35ENDIN_35" localSheetId="0">'GMIC_2020-Annu_SCDPT1'!$AM$1021</definedName>
    <definedName name="SCDPT1_35ENDIN_4" localSheetId="0">'GMIC_2020-Annu_SCDPT1'!$F$1021</definedName>
    <definedName name="SCDPT1_35ENDIN_5" localSheetId="0">'GMIC_2020-Annu_SCDPT1'!$G$1021</definedName>
    <definedName name="SCDPT1_35ENDIN_6.01" localSheetId="0">'GMIC_2020-Annu_SCDPT1'!$H$1021</definedName>
    <definedName name="SCDPT1_35ENDIN_6.02" localSheetId="0">'GMIC_2020-Annu_SCDPT1'!$I$1021</definedName>
    <definedName name="SCDPT1_35ENDIN_6.03" localSheetId="0">'GMIC_2020-Annu_SCDPT1'!$J$1021</definedName>
    <definedName name="SCDPT1_35ENDIN_7" localSheetId="0">'GMIC_2020-Annu_SCDPT1'!$K$1021</definedName>
    <definedName name="SCDPT1_35ENDIN_8" localSheetId="0">'GMIC_2020-Annu_SCDPT1'!$L$1021</definedName>
    <definedName name="SCDPT1_35ENDIN_9" localSheetId="0">'GMIC_2020-Annu_SCDPT1'!$M$1021</definedName>
    <definedName name="SCDPT1_3899999_10" localSheetId="0">'GMIC_2020-Annu_SCDPT1'!$N$1023</definedName>
    <definedName name="SCDPT1_3899999_11" localSheetId="0">'GMIC_2020-Annu_SCDPT1'!$O$1023</definedName>
    <definedName name="SCDPT1_3899999_12" localSheetId="0">'GMIC_2020-Annu_SCDPT1'!$P$1023</definedName>
    <definedName name="SCDPT1_3899999_13" localSheetId="0">'GMIC_2020-Annu_SCDPT1'!$Q$1023</definedName>
    <definedName name="SCDPT1_3899999_14" localSheetId="0">'GMIC_2020-Annu_SCDPT1'!$R$1023</definedName>
    <definedName name="SCDPT1_3899999_15" localSheetId="0">'GMIC_2020-Annu_SCDPT1'!$S$1023</definedName>
    <definedName name="SCDPT1_3899999_19" localSheetId="0">'GMIC_2020-Annu_SCDPT1'!$W$1023</definedName>
    <definedName name="SCDPT1_3899999_20" localSheetId="0">'GMIC_2020-Annu_SCDPT1'!$X$1023</definedName>
    <definedName name="SCDPT1_3899999_7" localSheetId="0">'GMIC_2020-Annu_SCDPT1'!$K$1023</definedName>
    <definedName name="SCDPT1_3899999_9" localSheetId="0">'GMIC_2020-Annu_SCDPT1'!$M$1023</definedName>
    <definedName name="SCDPT1_4200000_Range" localSheetId="0">'GMIC_2020-Annu_SCDPT1'!$B$1024:$AM$1026</definedName>
    <definedName name="SCDPT1_4299999_10" localSheetId="0">'GMIC_2020-Annu_SCDPT1'!$N$1027</definedName>
    <definedName name="SCDPT1_4299999_11" localSheetId="0">'GMIC_2020-Annu_SCDPT1'!$O$1027</definedName>
    <definedName name="SCDPT1_4299999_12" localSheetId="0">'GMIC_2020-Annu_SCDPT1'!$P$1027</definedName>
    <definedName name="SCDPT1_4299999_13" localSheetId="0">'GMIC_2020-Annu_SCDPT1'!$Q$1027</definedName>
    <definedName name="SCDPT1_4299999_14" localSheetId="0">'GMIC_2020-Annu_SCDPT1'!$R$1027</definedName>
    <definedName name="SCDPT1_4299999_15" localSheetId="0">'GMIC_2020-Annu_SCDPT1'!$S$1027</definedName>
    <definedName name="SCDPT1_4299999_19" localSheetId="0">'GMIC_2020-Annu_SCDPT1'!$W$1027</definedName>
    <definedName name="SCDPT1_4299999_20" localSheetId="0">'GMIC_2020-Annu_SCDPT1'!$X$1027</definedName>
    <definedName name="SCDPT1_4299999_7" localSheetId="0">'GMIC_2020-Annu_SCDPT1'!$K$1027</definedName>
    <definedName name="SCDPT1_4299999_9" localSheetId="0">'GMIC_2020-Annu_SCDPT1'!$M$1027</definedName>
    <definedName name="SCDPT1_42BEGIN_1" localSheetId="0">'GMIC_2020-Annu_SCDPT1'!$C$1024</definedName>
    <definedName name="SCDPT1_42BEGIN_10" localSheetId="0">'GMIC_2020-Annu_SCDPT1'!$N$1024</definedName>
    <definedName name="SCDPT1_42BEGIN_11" localSheetId="0">'GMIC_2020-Annu_SCDPT1'!$O$1024</definedName>
    <definedName name="SCDPT1_42BEGIN_12" localSheetId="0">'GMIC_2020-Annu_SCDPT1'!$P$1024</definedName>
    <definedName name="SCDPT1_42BEGIN_13" localSheetId="0">'GMIC_2020-Annu_SCDPT1'!$Q$1024</definedName>
    <definedName name="SCDPT1_42BEGIN_14" localSheetId="0">'GMIC_2020-Annu_SCDPT1'!$R$1024</definedName>
    <definedName name="SCDPT1_42BEGIN_15" localSheetId="0">'GMIC_2020-Annu_SCDPT1'!$S$1024</definedName>
    <definedName name="SCDPT1_42BEGIN_16" localSheetId="0">'GMIC_2020-Annu_SCDPT1'!$T$1024</definedName>
    <definedName name="SCDPT1_42BEGIN_17" localSheetId="0">'GMIC_2020-Annu_SCDPT1'!$U$1024</definedName>
    <definedName name="SCDPT1_42BEGIN_18" localSheetId="0">'GMIC_2020-Annu_SCDPT1'!$V$1024</definedName>
    <definedName name="SCDPT1_42BEGIN_19" localSheetId="0">'GMIC_2020-Annu_SCDPT1'!$W$1024</definedName>
    <definedName name="SCDPT1_42BEGIN_2" localSheetId="0">'GMIC_2020-Annu_SCDPT1'!$D$1024</definedName>
    <definedName name="SCDPT1_42BEGIN_20" localSheetId="0">'GMIC_2020-Annu_SCDPT1'!$X$1024</definedName>
    <definedName name="SCDPT1_42BEGIN_21" localSheetId="0">'GMIC_2020-Annu_SCDPT1'!$Y$1024</definedName>
    <definedName name="SCDPT1_42BEGIN_22" localSheetId="0">'GMIC_2020-Annu_SCDPT1'!$Z$1024</definedName>
    <definedName name="SCDPT1_42BEGIN_23" localSheetId="0">'GMIC_2020-Annu_SCDPT1'!$AA$1024</definedName>
    <definedName name="SCDPT1_42BEGIN_24" localSheetId="0">'GMIC_2020-Annu_SCDPT1'!$AB$1024</definedName>
    <definedName name="SCDPT1_42BEGIN_25" localSheetId="0">'GMIC_2020-Annu_SCDPT1'!$AC$1024</definedName>
    <definedName name="SCDPT1_42BEGIN_26" localSheetId="0">'GMIC_2020-Annu_SCDPT1'!$AD$1024</definedName>
    <definedName name="SCDPT1_42BEGIN_27" localSheetId="0">'GMIC_2020-Annu_SCDPT1'!$AE$1024</definedName>
    <definedName name="SCDPT1_42BEGIN_28" localSheetId="0">'GMIC_2020-Annu_SCDPT1'!$AF$1024</definedName>
    <definedName name="SCDPT1_42BEGIN_29" localSheetId="0">'GMIC_2020-Annu_SCDPT1'!$AG$1024</definedName>
    <definedName name="SCDPT1_42BEGIN_3" localSheetId="0">'GMIC_2020-Annu_SCDPT1'!$E$1024</definedName>
    <definedName name="SCDPT1_42BEGIN_30" localSheetId="0">'GMIC_2020-Annu_SCDPT1'!$AH$1024</definedName>
    <definedName name="SCDPT1_42BEGIN_31" localSheetId="0">'GMIC_2020-Annu_SCDPT1'!$AI$1024</definedName>
    <definedName name="SCDPT1_42BEGIN_32" localSheetId="0">'GMIC_2020-Annu_SCDPT1'!$AJ$1024</definedName>
    <definedName name="SCDPT1_42BEGIN_33" localSheetId="0">'GMIC_2020-Annu_SCDPT1'!$AK$1024</definedName>
    <definedName name="SCDPT1_42BEGIN_34" localSheetId="0">'GMIC_2020-Annu_SCDPT1'!$AL$1024</definedName>
    <definedName name="SCDPT1_42BEGIN_35" localSheetId="0">'GMIC_2020-Annu_SCDPT1'!$AM$1024</definedName>
    <definedName name="SCDPT1_42BEGIN_4" localSheetId="0">'GMIC_2020-Annu_SCDPT1'!$F$1024</definedName>
    <definedName name="SCDPT1_42BEGIN_5" localSheetId="0">'GMIC_2020-Annu_SCDPT1'!$G$1024</definedName>
    <definedName name="SCDPT1_42BEGIN_6.01" localSheetId="0">'GMIC_2020-Annu_SCDPT1'!$H$1024</definedName>
    <definedName name="SCDPT1_42BEGIN_6.02" localSheetId="0">'GMIC_2020-Annu_SCDPT1'!$I$1024</definedName>
    <definedName name="SCDPT1_42BEGIN_6.03" localSheetId="0">'GMIC_2020-Annu_SCDPT1'!$J$1024</definedName>
    <definedName name="SCDPT1_42BEGIN_7" localSheetId="0">'GMIC_2020-Annu_SCDPT1'!$K$1024</definedName>
    <definedName name="SCDPT1_42BEGIN_8" localSheetId="0">'GMIC_2020-Annu_SCDPT1'!$L$1024</definedName>
    <definedName name="SCDPT1_42BEGIN_9" localSheetId="0">'GMIC_2020-Annu_SCDPT1'!$M$1024</definedName>
    <definedName name="SCDPT1_42ENDIN_10" localSheetId="0">'GMIC_2020-Annu_SCDPT1'!$N$1026</definedName>
    <definedName name="SCDPT1_42ENDIN_11" localSheetId="0">'GMIC_2020-Annu_SCDPT1'!$O$1026</definedName>
    <definedName name="SCDPT1_42ENDIN_12" localSheetId="0">'GMIC_2020-Annu_SCDPT1'!$P$1026</definedName>
    <definedName name="SCDPT1_42ENDIN_13" localSheetId="0">'GMIC_2020-Annu_SCDPT1'!$Q$1026</definedName>
    <definedName name="SCDPT1_42ENDIN_14" localSheetId="0">'GMIC_2020-Annu_SCDPT1'!$R$1026</definedName>
    <definedName name="SCDPT1_42ENDIN_15" localSheetId="0">'GMIC_2020-Annu_SCDPT1'!$S$1026</definedName>
    <definedName name="SCDPT1_42ENDIN_16" localSheetId="0">'GMIC_2020-Annu_SCDPT1'!$T$1026</definedName>
    <definedName name="SCDPT1_42ENDIN_17" localSheetId="0">'GMIC_2020-Annu_SCDPT1'!$U$1026</definedName>
    <definedName name="SCDPT1_42ENDIN_18" localSheetId="0">'GMIC_2020-Annu_SCDPT1'!$V$1026</definedName>
    <definedName name="SCDPT1_42ENDIN_19" localSheetId="0">'GMIC_2020-Annu_SCDPT1'!$W$1026</definedName>
    <definedName name="SCDPT1_42ENDIN_2" localSheetId="0">'GMIC_2020-Annu_SCDPT1'!$D$1026</definedName>
    <definedName name="SCDPT1_42ENDIN_20" localSheetId="0">'GMIC_2020-Annu_SCDPT1'!$X$1026</definedName>
    <definedName name="SCDPT1_42ENDIN_21" localSheetId="0">'GMIC_2020-Annu_SCDPT1'!$Y$1026</definedName>
    <definedName name="SCDPT1_42ENDIN_22" localSheetId="0">'GMIC_2020-Annu_SCDPT1'!$Z$1026</definedName>
    <definedName name="SCDPT1_42ENDIN_23" localSheetId="0">'GMIC_2020-Annu_SCDPT1'!$AA$1026</definedName>
    <definedName name="SCDPT1_42ENDIN_24" localSheetId="0">'GMIC_2020-Annu_SCDPT1'!$AB$1026</definedName>
    <definedName name="SCDPT1_42ENDIN_25" localSheetId="0">'GMIC_2020-Annu_SCDPT1'!$AC$1026</definedName>
    <definedName name="SCDPT1_42ENDIN_26" localSheetId="0">'GMIC_2020-Annu_SCDPT1'!$AD$1026</definedName>
    <definedName name="SCDPT1_42ENDIN_27" localSheetId="0">'GMIC_2020-Annu_SCDPT1'!$AE$1026</definedName>
    <definedName name="SCDPT1_42ENDIN_28" localSheetId="0">'GMIC_2020-Annu_SCDPT1'!$AF$1026</definedName>
    <definedName name="SCDPT1_42ENDIN_29" localSheetId="0">'GMIC_2020-Annu_SCDPT1'!$AG$1026</definedName>
    <definedName name="SCDPT1_42ENDIN_3" localSheetId="0">'GMIC_2020-Annu_SCDPT1'!$E$1026</definedName>
    <definedName name="SCDPT1_42ENDIN_30" localSheetId="0">'GMIC_2020-Annu_SCDPT1'!$AH$1026</definedName>
    <definedName name="SCDPT1_42ENDIN_31" localSheetId="0">'GMIC_2020-Annu_SCDPT1'!$AI$1026</definedName>
    <definedName name="SCDPT1_42ENDIN_32" localSheetId="0">'GMIC_2020-Annu_SCDPT1'!$AJ$1026</definedName>
    <definedName name="SCDPT1_42ENDIN_33" localSheetId="0">'GMIC_2020-Annu_SCDPT1'!$AK$1026</definedName>
    <definedName name="SCDPT1_42ENDIN_34" localSheetId="0">'GMIC_2020-Annu_SCDPT1'!$AL$1026</definedName>
    <definedName name="SCDPT1_42ENDIN_35" localSheetId="0">'GMIC_2020-Annu_SCDPT1'!$AM$1026</definedName>
    <definedName name="SCDPT1_42ENDIN_4" localSheetId="0">'GMIC_2020-Annu_SCDPT1'!$F$1026</definedName>
    <definedName name="SCDPT1_42ENDIN_5" localSheetId="0">'GMIC_2020-Annu_SCDPT1'!$G$1026</definedName>
    <definedName name="SCDPT1_42ENDIN_6.01" localSheetId="0">'GMIC_2020-Annu_SCDPT1'!$H$1026</definedName>
    <definedName name="SCDPT1_42ENDIN_6.02" localSheetId="0">'GMIC_2020-Annu_SCDPT1'!$I$1026</definedName>
    <definedName name="SCDPT1_42ENDIN_6.03" localSheetId="0">'GMIC_2020-Annu_SCDPT1'!$J$1026</definedName>
    <definedName name="SCDPT1_42ENDIN_7" localSheetId="0">'GMIC_2020-Annu_SCDPT1'!$K$1026</definedName>
    <definedName name="SCDPT1_42ENDIN_8" localSheetId="0">'GMIC_2020-Annu_SCDPT1'!$L$1026</definedName>
    <definedName name="SCDPT1_42ENDIN_9" localSheetId="0">'GMIC_2020-Annu_SCDPT1'!$M$1026</definedName>
    <definedName name="SCDPT1_4300000_Range" localSheetId="0">'GMIC_2020-Annu_SCDPT1'!$B$1028:$AM$1030</definedName>
    <definedName name="SCDPT1_4399999_10" localSheetId="0">'GMIC_2020-Annu_SCDPT1'!$N$1031</definedName>
    <definedName name="SCDPT1_4399999_11" localSheetId="0">'GMIC_2020-Annu_SCDPT1'!$O$1031</definedName>
    <definedName name="SCDPT1_4399999_12" localSheetId="0">'GMIC_2020-Annu_SCDPT1'!$P$1031</definedName>
    <definedName name="SCDPT1_4399999_13" localSheetId="0">'GMIC_2020-Annu_SCDPT1'!$Q$1031</definedName>
    <definedName name="SCDPT1_4399999_14" localSheetId="0">'GMIC_2020-Annu_SCDPT1'!$R$1031</definedName>
    <definedName name="SCDPT1_4399999_15" localSheetId="0">'GMIC_2020-Annu_SCDPT1'!$S$1031</definedName>
    <definedName name="SCDPT1_4399999_19" localSheetId="0">'GMIC_2020-Annu_SCDPT1'!$W$1031</definedName>
    <definedName name="SCDPT1_4399999_20" localSheetId="0">'GMIC_2020-Annu_SCDPT1'!$X$1031</definedName>
    <definedName name="SCDPT1_4399999_7" localSheetId="0">'GMIC_2020-Annu_SCDPT1'!$K$1031</definedName>
    <definedName name="SCDPT1_4399999_9" localSheetId="0">'GMIC_2020-Annu_SCDPT1'!$M$1031</definedName>
    <definedName name="SCDPT1_43BEGIN_1" localSheetId="0">'GMIC_2020-Annu_SCDPT1'!$C$1028</definedName>
    <definedName name="SCDPT1_43BEGIN_10" localSheetId="0">'GMIC_2020-Annu_SCDPT1'!$N$1028</definedName>
    <definedName name="SCDPT1_43BEGIN_11" localSheetId="0">'GMIC_2020-Annu_SCDPT1'!$O$1028</definedName>
    <definedName name="SCDPT1_43BEGIN_12" localSheetId="0">'GMIC_2020-Annu_SCDPT1'!$P$1028</definedName>
    <definedName name="SCDPT1_43BEGIN_13" localSheetId="0">'GMIC_2020-Annu_SCDPT1'!$Q$1028</definedName>
    <definedName name="SCDPT1_43BEGIN_14" localSheetId="0">'GMIC_2020-Annu_SCDPT1'!$R$1028</definedName>
    <definedName name="SCDPT1_43BEGIN_15" localSheetId="0">'GMIC_2020-Annu_SCDPT1'!$S$1028</definedName>
    <definedName name="SCDPT1_43BEGIN_16" localSheetId="0">'GMIC_2020-Annu_SCDPT1'!$T$1028</definedName>
    <definedName name="SCDPT1_43BEGIN_17" localSheetId="0">'GMIC_2020-Annu_SCDPT1'!$U$1028</definedName>
    <definedName name="SCDPT1_43BEGIN_18" localSheetId="0">'GMIC_2020-Annu_SCDPT1'!$V$1028</definedName>
    <definedName name="SCDPT1_43BEGIN_19" localSheetId="0">'GMIC_2020-Annu_SCDPT1'!$W$1028</definedName>
    <definedName name="SCDPT1_43BEGIN_2" localSheetId="0">'GMIC_2020-Annu_SCDPT1'!$D$1028</definedName>
    <definedName name="SCDPT1_43BEGIN_20" localSheetId="0">'GMIC_2020-Annu_SCDPT1'!$X$1028</definedName>
    <definedName name="SCDPT1_43BEGIN_21" localSheetId="0">'GMIC_2020-Annu_SCDPT1'!$Y$1028</definedName>
    <definedName name="SCDPT1_43BEGIN_22" localSheetId="0">'GMIC_2020-Annu_SCDPT1'!$Z$1028</definedName>
    <definedName name="SCDPT1_43BEGIN_23" localSheetId="0">'GMIC_2020-Annu_SCDPT1'!$AA$1028</definedName>
    <definedName name="SCDPT1_43BEGIN_24" localSheetId="0">'GMIC_2020-Annu_SCDPT1'!$AB$1028</definedName>
    <definedName name="SCDPT1_43BEGIN_25" localSheetId="0">'GMIC_2020-Annu_SCDPT1'!$AC$1028</definedName>
    <definedName name="SCDPT1_43BEGIN_26" localSheetId="0">'GMIC_2020-Annu_SCDPT1'!$AD$1028</definedName>
    <definedName name="SCDPT1_43BEGIN_27" localSheetId="0">'GMIC_2020-Annu_SCDPT1'!$AE$1028</definedName>
    <definedName name="SCDPT1_43BEGIN_28" localSheetId="0">'GMIC_2020-Annu_SCDPT1'!$AF$1028</definedName>
    <definedName name="SCDPT1_43BEGIN_29" localSheetId="0">'GMIC_2020-Annu_SCDPT1'!$AG$1028</definedName>
    <definedName name="SCDPT1_43BEGIN_3" localSheetId="0">'GMIC_2020-Annu_SCDPT1'!$E$1028</definedName>
    <definedName name="SCDPT1_43BEGIN_30" localSheetId="0">'GMIC_2020-Annu_SCDPT1'!$AH$1028</definedName>
    <definedName name="SCDPT1_43BEGIN_31" localSheetId="0">'GMIC_2020-Annu_SCDPT1'!$AI$1028</definedName>
    <definedName name="SCDPT1_43BEGIN_32" localSheetId="0">'GMIC_2020-Annu_SCDPT1'!$AJ$1028</definedName>
    <definedName name="SCDPT1_43BEGIN_33" localSheetId="0">'GMIC_2020-Annu_SCDPT1'!$AK$1028</definedName>
    <definedName name="SCDPT1_43BEGIN_34" localSheetId="0">'GMIC_2020-Annu_SCDPT1'!$AL$1028</definedName>
    <definedName name="SCDPT1_43BEGIN_35" localSheetId="0">'GMIC_2020-Annu_SCDPT1'!$AM$1028</definedName>
    <definedName name="SCDPT1_43BEGIN_4" localSheetId="0">'GMIC_2020-Annu_SCDPT1'!$F$1028</definedName>
    <definedName name="SCDPT1_43BEGIN_5" localSheetId="0">'GMIC_2020-Annu_SCDPT1'!$G$1028</definedName>
    <definedName name="SCDPT1_43BEGIN_6.01" localSheetId="0">'GMIC_2020-Annu_SCDPT1'!$H$1028</definedName>
    <definedName name="SCDPT1_43BEGIN_6.02" localSheetId="0">'GMIC_2020-Annu_SCDPT1'!$I$1028</definedName>
    <definedName name="SCDPT1_43BEGIN_6.03" localSheetId="0">'GMIC_2020-Annu_SCDPT1'!$J$1028</definedName>
    <definedName name="SCDPT1_43BEGIN_7" localSheetId="0">'GMIC_2020-Annu_SCDPT1'!$K$1028</definedName>
    <definedName name="SCDPT1_43BEGIN_8" localSheetId="0">'GMIC_2020-Annu_SCDPT1'!$L$1028</definedName>
    <definedName name="SCDPT1_43BEGIN_9" localSheetId="0">'GMIC_2020-Annu_SCDPT1'!$M$1028</definedName>
    <definedName name="SCDPT1_43ENDIN_10" localSheetId="0">'GMIC_2020-Annu_SCDPT1'!$N$1030</definedName>
    <definedName name="SCDPT1_43ENDIN_11" localSheetId="0">'GMIC_2020-Annu_SCDPT1'!$O$1030</definedName>
    <definedName name="SCDPT1_43ENDIN_12" localSheetId="0">'GMIC_2020-Annu_SCDPT1'!$P$1030</definedName>
    <definedName name="SCDPT1_43ENDIN_13" localSheetId="0">'GMIC_2020-Annu_SCDPT1'!$Q$1030</definedName>
    <definedName name="SCDPT1_43ENDIN_14" localSheetId="0">'GMIC_2020-Annu_SCDPT1'!$R$1030</definedName>
    <definedName name="SCDPT1_43ENDIN_15" localSheetId="0">'GMIC_2020-Annu_SCDPT1'!$S$1030</definedName>
    <definedName name="SCDPT1_43ENDIN_16" localSheetId="0">'GMIC_2020-Annu_SCDPT1'!$T$1030</definedName>
    <definedName name="SCDPT1_43ENDIN_17" localSheetId="0">'GMIC_2020-Annu_SCDPT1'!$U$1030</definedName>
    <definedName name="SCDPT1_43ENDIN_18" localSheetId="0">'GMIC_2020-Annu_SCDPT1'!$V$1030</definedName>
    <definedName name="SCDPT1_43ENDIN_19" localSheetId="0">'GMIC_2020-Annu_SCDPT1'!$W$1030</definedName>
    <definedName name="SCDPT1_43ENDIN_2" localSheetId="0">'GMIC_2020-Annu_SCDPT1'!$D$1030</definedName>
    <definedName name="SCDPT1_43ENDIN_20" localSheetId="0">'GMIC_2020-Annu_SCDPT1'!$X$1030</definedName>
    <definedName name="SCDPT1_43ENDIN_21" localSheetId="0">'GMIC_2020-Annu_SCDPT1'!$Y$1030</definedName>
    <definedName name="SCDPT1_43ENDIN_22" localSheetId="0">'GMIC_2020-Annu_SCDPT1'!$Z$1030</definedName>
    <definedName name="SCDPT1_43ENDIN_23" localSheetId="0">'GMIC_2020-Annu_SCDPT1'!$AA$1030</definedName>
    <definedName name="SCDPT1_43ENDIN_24" localSheetId="0">'GMIC_2020-Annu_SCDPT1'!$AB$1030</definedName>
    <definedName name="SCDPT1_43ENDIN_25" localSheetId="0">'GMIC_2020-Annu_SCDPT1'!$AC$1030</definedName>
    <definedName name="SCDPT1_43ENDIN_26" localSheetId="0">'GMIC_2020-Annu_SCDPT1'!$AD$1030</definedName>
    <definedName name="SCDPT1_43ENDIN_27" localSheetId="0">'GMIC_2020-Annu_SCDPT1'!$AE$1030</definedName>
    <definedName name="SCDPT1_43ENDIN_28" localSheetId="0">'GMIC_2020-Annu_SCDPT1'!$AF$1030</definedName>
    <definedName name="SCDPT1_43ENDIN_29" localSheetId="0">'GMIC_2020-Annu_SCDPT1'!$AG$1030</definedName>
    <definedName name="SCDPT1_43ENDIN_3" localSheetId="0">'GMIC_2020-Annu_SCDPT1'!$E$1030</definedName>
    <definedName name="SCDPT1_43ENDIN_30" localSheetId="0">'GMIC_2020-Annu_SCDPT1'!$AH$1030</definedName>
    <definedName name="SCDPT1_43ENDIN_31" localSheetId="0">'GMIC_2020-Annu_SCDPT1'!$AI$1030</definedName>
    <definedName name="SCDPT1_43ENDIN_32" localSheetId="0">'GMIC_2020-Annu_SCDPT1'!$AJ$1030</definedName>
    <definedName name="SCDPT1_43ENDIN_33" localSheetId="0">'GMIC_2020-Annu_SCDPT1'!$AK$1030</definedName>
    <definedName name="SCDPT1_43ENDIN_34" localSheetId="0">'GMIC_2020-Annu_SCDPT1'!$AL$1030</definedName>
    <definedName name="SCDPT1_43ENDIN_35" localSheetId="0">'GMIC_2020-Annu_SCDPT1'!$AM$1030</definedName>
    <definedName name="SCDPT1_43ENDIN_4" localSheetId="0">'GMIC_2020-Annu_SCDPT1'!$F$1030</definedName>
    <definedName name="SCDPT1_43ENDIN_5" localSheetId="0">'GMIC_2020-Annu_SCDPT1'!$G$1030</definedName>
    <definedName name="SCDPT1_43ENDIN_6.01" localSheetId="0">'GMIC_2020-Annu_SCDPT1'!$H$1030</definedName>
    <definedName name="SCDPT1_43ENDIN_6.02" localSheetId="0">'GMIC_2020-Annu_SCDPT1'!$I$1030</definedName>
    <definedName name="SCDPT1_43ENDIN_6.03" localSheetId="0">'GMIC_2020-Annu_SCDPT1'!$J$1030</definedName>
    <definedName name="SCDPT1_43ENDIN_7" localSheetId="0">'GMIC_2020-Annu_SCDPT1'!$K$1030</definedName>
    <definedName name="SCDPT1_43ENDIN_8" localSheetId="0">'GMIC_2020-Annu_SCDPT1'!$L$1030</definedName>
    <definedName name="SCDPT1_43ENDIN_9" localSheetId="0">'GMIC_2020-Annu_SCDPT1'!$M$1030</definedName>
    <definedName name="SCDPT1_4400000_Range" localSheetId="0">'GMIC_2020-Annu_SCDPT1'!$B$1032:$AM$1034</definedName>
    <definedName name="SCDPT1_4499999_10" localSheetId="0">'GMIC_2020-Annu_SCDPT1'!$N$1035</definedName>
    <definedName name="SCDPT1_4499999_11" localSheetId="0">'GMIC_2020-Annu_SCDPT1'!$O$1035</definedName>
    <definedName name="SCDPT1_4499999_12" localSheetId="0">'GMIC_2020-Annu_SCDPT1'!$P$1035</definedName>
    <definedName name="SCDPT1_4499999_13" localSheetId="0">'GMIC_2020-Annu_SCDPT1'!$Q$1035</definedName>
    <definedName name="SCDPT1_4499999_14" localSheetId="0">'GMIC_2020-Annu_SCDPT1'!$R$1035</definedName>
    <definedName name="SCDPT1_4499999_15" localSheetId="0">'GMIC_2020-Annu_SCDPT1'!$S$1035</definedName>
    <definedName name="SCDPT1_4499999_19" localSheetId="0">'GMIC_2020-Annu_SCDPT1'!$W$1035</definedName>
    <definedName name="SCDPT1_4499999_20" localSheetId="0">'GMIC_2020-Annu_SCDPT1'!$X$1035</definedName>
    <definedName name="SCDPT1_4499999_7" localSheetId="0">'GMIC_2020-Annu_SCDPT1'!$K$1035</definedName>
    <definedName name="SCDPT1_4499999_9" localSheetId="0">'GMIC_2020-Annu_SCDPT1'!$M$1035</definedName>
    <definedName name="SCDPT1_44BEGIN_1" localSheetId="0">'GMIC_2020-Annu_SCDPT1'!$C$1032</definedName>
    <definedName name="SCDPT1_44BEGIN_10" localSheetId="0">'GMIC_2020-Annu_SCDPT1'!$N$1032</definedName>
    <definedName name="SCDPT1_44BEGIN_11" localSheetId="0">'GMIC_2020-Annu_SCDPT1'!$O$1032</definedName>
    <definedName name="SCDPT1_44BEGIN_12" localSheetId="0">'GMIC_2020-Annu_SCDPT1'!$P$1032</definedName>
    <definedName name="SCDPT1_44BEGIN_13" localSheetId="0">'GMIC_2020-Annu_SCDPT1'!$Q$1032</definedName>
    <definedName name="SCDPT1_44BEGIN_14" localSheetId="0">'GMIC_2020-Annu_SCDPT1'!$R$1032</definedName>
    <definedName name="SCDPT1_44BEGIN_15" localSheetId="0">'GMIC_2020-Annu_SCDPT1'!$S$1032</definedName>
    <definedName name="SCDPT1_44BEGIN_16" localSheetId="0">'GMIC_2020-Annu_SCDPT1'!$T$1032</definedName>
    <definedName name="SCDPT1_44BEGIN_17" localSheetId="0">'GMIC_2020-Annu_SCDPT1'!$U$1032</definedName>
    <definedName name="SCDPT1_44BEGIN_18" localSheetId="0">'GMIC_2020-Annu_SCDPT1'!$V$1032</definedName>
    <definedName name="SCDPT1_44BEGIN_19" localSheetId="0">'GMIC_2020-Annu_SCDPT1'!$W$1032</definedName>
    <definedName name="SCDPT1_44BEGIN_2" localSheetId="0">'GMIC_2020-Annu_SCDPT1'!$D$1032</definedName>
    <definedName name="SCDPT1_44BEGIN_20" localSheetId="0">'GMIC_2020-Annu_SCDPT1'!$X$1032</definedName>
    <definedName name="SCDPT1_44BEGIN_21" localSheetId="0">'GMIC_2020-Annu_SCDPT1'!$Y$1032</definedName>
    <definedName name="SCDPT1_44BEGIN_22" localSheetId="0">'GMIC_2020-Annu_SCDPT1'!$Z$1032</definedName>
    <definedName name="SCDPT1_44BEGIN_23" localSheetId="0">'GMIC_2020-Annu_SCDPT1'!$AA$1032</definedName>
    <definedName name="SCDPT1_44BEGIN_24" localSheetId="0">'GMIC_2020-Annu_SCDPT1'!$AB$1032</definedName>
    <definedName name="SCDPT1_44BEGIN_25" localSheetId="0">'GMIC_2020-Annu_SCDPT1'!$AC$1032</definedName>
    <definedName name="SCDPT1_44BEGIN_26" localSheetId="0">'GMIC_2020-Annu_SCDPT1'!$AD$1032</definedName>
    <definedName name="SCDPT1_44BEGIN_27" localSheetId="0">'GMIC_2020-Annu_SCDPT1'!$AE$1032</definedName>
    <definedName name="SCDPT1_44BEGIN_28" localSheetId="0">'GMIC_2020-Annu_SCDPT1'!$AF$1032</definedName>
    <definedName name="SCDPT1_44BEGIN_29" localSheetId="0">'GMIC_2020-Annu_SCDPT1'!$AG$1032</definedName>
    <definedName name="SCDPT1_44BEGIN_3" localSheetId="0">'GMIC_2020-Annu_SCDPT1'!$E$1032</definedName>
    <definedName name="SCDPT1_44BEGIN_30" localSheetId="0">'GMIC_2020-Annu_SCDPT1'!$AH$1032</definedName>
    <definedName name="SCDPT1_44BEGIN_31" localSheetId="0">'GMIC_2020-Annu_SCDPT1'!$AI$1032</definedName>
    <definedName name="SCDPT1_44BEGIN_32" localSheetId="0">'GMIC_2020-Annu_SCDPT1'!$AJ$1032</definedName>
    <definedName name="SCDPT1_44BEGIN_33" localSheetId="0">'GMIC_2020-Annu_SCDPT1'!$AK$1032</definedName>
    <definedName name="SCDPT1_44BEGIN_34" localSheetId="0">'GMIC_2020-Annu_SCDPT1'!$AL$1032</definedName>
    <definedName name="SCDPT1_44BEGIN_35" localSheetId="0">'GMIC_2020-Annu_SCDPT1'!$AM$1032</definedName>
    <definedName name="SCDPT1_44BEGIN_4" localSheetId="0">'GMIC_2020-Annu_SCDPT1'!$F$1032</definedName>
    <definedName name="SCDPT1_44BEGIN_5" localSheetId="0">'GMIC_2020-Annu_SCDPT1'!$G$1032</definedName>
    <definedName name="SCDPT1_44BEGIN_6.01" localSheetId="0">'GMIC_2020-Annu_SCDPT1'!$H$1032</definedName>
    <definedName name="SCDPT1_44BEGIN_6.02" localSheetId="0">'GMIC_2020-Annu_SCDPT1'!$I$1032</definedName>
    <definedName name="SCDPT1_44BEGIN_6.03" localSheetId="0">'GMIC_2020-Annu_SCDPT1'!$J$1032</definedName>
    <definedName name="SCDPT1_44BEGIN_7" localSheetId="0">'GMIC_2020-Annu_SCDPT1'!$K$1032</definedName>
    <definedName name="SCDPT1_44BEGIN_8" localSheetId="0">'GMIC_2020-Annu_SCDPT1'!$L$1032</definedName>
    <definedName name="SCDPT1_44BEGIN_9" localSheetId="0">'GMIC_2020-Annu_SCDPT1'!$M$1032</definedName>
    <definedName name="SCDPT1_44ENDIN_10" localSheetId="0">'GMIC_2020-Annu_SCDPT1'!$N$1034</definedName>
    <definedName name="SCDPT1_44ENDIN_11" localSheetId="0">'GMIC_2020-Annu_SCDPT1'!$O$1034</definedName>
    <definedName name="SCDPT1_44ENDIN_12" localSheetId="0">'GMIC_2020-Annu_SCDPT1'!$P$1034</definedName>
    <definedName name="SCDPT1_44ENDIN_13" localSheetId="0">'GMIC_2020-Annu_SCDPT1'!$Q$1034</definedName>
    <definedName name="SCDPT1_44ENDIN_14" localSheetId="0">'GMIC_2020-Annu_SCDPT1'!$R$1034</definedName>
    <definedName name="SCDPT1_44ENDIN_15" localSheetId="0">'GMIC_2020-Annu_SCDPT1'!$S$1034</definedName>
    <definedName name="SCDPT1_44ENDIN_16" localSheetId="0">'GMIC_2020-Annu_SCDPT1'!$T$1034</definedName>
    <definedName name="SCDPT1_44ENDIN_17" localSheetId="0">'GMIC_2020-Annu_SCDPT1'!$U$1034</definedName>
    <definedName name="SCDPT1_44ENDIN_18" localSheetId="0">'GMIC_2020-Annu_SCDPT1'!$V$1034</definedName>
    <definedName name="SCDPT1_44ENDIN_19" localSheetId="0">'GMIC_2020-Annu_SCDPT1'!$W$1034</definedName>
    <definedName name="SCDPT1_44ENDIN_2" localSheetId="0">'GMIC_2020-Annu_SCDPT1'!$D$1034</definedName>
    <definedName name="SCDPT1_44ENDIN_20" localSheetId="0">'GMIC_2020-Annu_SCDPT1'!$X$1034</definedName>
    <definedName name="SCDPT1_44ENDIN_21" localSheetId="0">'GMIC_2020-Annu_SCDPT1'!$Y$1034</definedName>
    <definedName name="SCDPT1_44ENDIN_22" localSheetId="0">'GMIC_2020-Annu_SCDPT1'!$Z$1034</definedName>
    <definedName name="SCDPT1_44ENDIN_23" localSheetId="0">'GMIC_2020-Annu_SCDPT1'!$AA$1034</definedName>
    <definedName name="SCDPT1_44ENDIN_24" localSheetId="0">'GMIC_2020-Annu_SCDPT1'!$AB$1034</definedName>
    <definedName name="SCDPT1_44ENDIN_25" localSheetId="0">'GMIC_2020-Annu_SCDPT1'!$AC$1034</definedName>
    <definedName name="SCDPT1_44ENDIN_26" localSheetId="0">'GMIC_2020-Annu_SCDPT1'!$AD$1034</definedName>
    <definedName name="SCDPT1_44ENDIN_27" localSheetId="0">'GMIC_2020-Annu_SCDPT1'!$AE$1034</definedName>
    <definedName name="SCDPT1_44ENDIN_28" localSheetId="0">'GMIC_2020-Annu_SCDPT1'!$AF$1034</definedName>
    <definedName name="SCDPT1_44ENDIN_29" localSheetId="0">'GMIC_2020-Annu_SCDPT1'!$AG$1034</definedName>
    <definedName name="SCDPT1_44ENDIN_3" localSheetId="0">'GMIC_2020-Annu_SCDPT1'!$E$1034</definedName>
    <definedName name="SCDPT1_44ENDIN_30" localSheetId="0">'GMIC_2020-Annu_SCDPT1'!$AH$1034</definedName>
    <definedName name="SCDPT1_44ENDIN_31" localSheetId="0">'GMIC_2020-Annu_SCDPT1'!$AI$1034</definedName>
    <definedName name="SCDPT1_44ENDIN_32" localSheetId="0">'GMIC_2020-Annu_SCDPT1'!$AJ$1034</definedName>
    <definedName name="SCDPT1_44ENDIN_33" localSheetId="0">'GMIC_2020-Annu_SCDPT1'!$AK$1034</definedName>
    <definedName name="SCDPT1_44ENDIN_34" localSheetId="0">'GMIC_2020-Annu_SCDPT1'!$AL$1034</definedName>
    <definedName name="SCDPT1_44ENDIN_35" localSheetId="0">'GMIC_2020-Annu_SCDPT1'!$AM$1034</definedName>
    <definedName name="SCDPT1_44ENDIN_4" localSheetId="0">'GMIC_2020-Annu_SCDPT1'!$F$1034</definedName>
    <definedName name="SCDPT1_44ENDIN_5" localSheetId="0">'GMIC_2020-Annu_SCDPT1'!$G$1034</definedName>
    <definedName name="SCDPT1_44ENDIN_6.01" localSheetId="0">'GMIC_2020-Annu_SCDPT1'!$H$1034</definedName>
    <definedName name="SCDPT1_44ENDIN_6.02" localSheetId="0">'GMIC_2020-Annu_SCDPT1'!$I$1034</definedName>
    <definedName name="SCDPT1_44ENDIN_6.03" localSheetId="0">'GMIC_2020-Annu_SCDPT1'!$J$1034</definedName>
    <definedName name="SCDPT1_44ENDIN_7" localSheetId="0">'GMIC_2020-Annu_SCDPT1'!$K$1034</definedName>
    <definedName name="SCDPT1_44ENDIN_8" localSheetId="0">'GMIC_2020-Annu_SCDPT1'!$L$1034</definedName>
    <definedName name="SCDPT1_44ENDIN_9" localSheetId="0">'GMIC_2020-Annu_SCDPT1'!$M$1034</definedName>
    <definedName name="SCDPT1_4500000_Range" localSheetId="0">'GMIC_2020-Annu_SCDPT1'!$B$1036:$AM$1038</definedName>
    <definedName name="SCDPT1_4599999_10" localSheetId="0">'GMIC_2020-Annu_SCDPT1'!$N$1039</definedName>
    <definedName name="SCDPT1_4599999_11" localSheetId="0">'GMIC_2020-Annu_SCDPT1'!$O$1039</definedName>
    <definedName name="SCDPT1_4599999_12" localSheetId="0">'GMIC_2020-Annu_SCDPT1'!$P$1039</definedName>
    <definedName name="SCDPT1_4599999_13" localSheetId="0">'GMIC_2020-Annu_SCDPT1'!$Q$1039</definedName>
    <definedName name="SCDPT1_4599999_14" localSheetId="0">'GMIC_2020-Annu_SCDPT1'!$R$1039</definedName>
    <definedName name="SCDPT1_4599999_15" localSheetId="0">'GMIC_2020-Annu_SCDPT1'!$S$1039</definedName>
    <definedName name="SCDPT1_4599999_19" localSheetId="0">'GMIC_2020-Annu_SCDPT1'!$W$1039</definedName>
    <definedName name="SCDPT1_4599999_20" localSheetId="0">'GMIC_2020-Annu_SCDPT1'!$X$1039</definedName>
    <definedName name="SCDPT1_4599999_7" localSheetId="0">'GMIC_2020-Annu_SCDPT1'!$K$1039</definedName>
    <definedName name="SCDPT1_4599999_9" localSheetId="0">'GMIC_2020-Annu_SCDPT1'!$M$1039</definedName>
    <definedName name="SCDPT1_45BEGIN_1" localSheetId="0">'GMIC_2020-Annu_SCDPT1'!$C$1036</definedName>
    <definedName name="SCDPT1_45BEGIN_10" localSheetId="0">'GMIC_2020-Annu_SCDPT1'!$N$1036</definedName>
    <definedName name="SCDPT1_45BEGIN_11" localSheetId="0">'GMIC_2020-Annu_SCDPT1'!$O$1036</definedName>
    <definedName name="SCDPT1_45BEGIN_12" localSheetId="0">'GMIC_2020-Annu_SCDPT1'!$P$1036</definedName>
    <definedName name="SCDPT1_45BEGIN_13" localSheetId="0">'GMIC_2020-Annu_SCDPT1'!$Q$1036</definedName>
    <definedName name="SCDPT1_45BEGIN_14" localSheetId="0">'GMIC_2020-Annu_SCDPT1'!$R$1036</definedName>
    <definedName name="SCDPT1_45BEGIN_15" localSheetId="0">'GMIC_2020-Annu_SCDPT1'!$S$1036</definedName>
    <definedName name="SCDPT1_45BEGIN_16" localSheetId="0">'GMIC_2020-Annu_SCDPT1'!$T$1036</definedName>
    <definedName name="SCDPT1_45BEGIN_17" localSheetId="0">'GMIC_2020-Annu_SCDPT1'!$U$1036</definedName>
    <definedName name="SCDPT1_45BEGIN_18" localSheetId="0">'GMIC_2020-Annu_SCDPT1'!$V$1036</definedName>
    <definedName name="SCDPT1_45BEGIN_19" localSheetId="0">'GMIC_2020-Annu_SCDPT1'!$W$1036</definedName>
    <definedName name="SCDPT1_45BEGIN_2" localSheetId="0">'GMIC_2020-Annu_SCDPT1'!$D$1036</definedName>
    <definedName name="SCDPT1_45BEGIN_20" localSheetId="0">'GMIC_2020-Annu_SCDPT1'!$X$1036</definedName>
    <definedName name="SCDPT1_45BEGIN_21" localSheetId="0">'GMIC_2020-Annu_SCDPT1'!$Y$1036</definedName>
    <definedName name="SCDPT1_45BEGIN_22" localSheetId="0">'GMIC_2020-Annu_SCDPT1'!$Z$1036</definedName>
    <definedName name="SCDPT1_45BEGIN_23" localSheetId="0">'GMIC_2020-Annu_SCDPT1'!$AA$1036</definedName>
    <definedName name="SCDPT1_45BEGIN_24" localSheetId="0">'GMIC_2020-Annu_SCDPT1'!$AB$1036</definedName>
    <definedName name="SCDPT1_45BEGIN_25" localSheetId="0">'GMIC_2020-Annu_SCDPT1'!$AC$1036</definedName>
    <definedName name="SCDPT1_45BEGIN_26" localSheetId="0">'GMIC_2020-Annu_SCDPT1'!$AD$1036</definedName>
    <definedName name="SCDPT1_45BEGIN_27" localSheetId="0">'GMIC_2020-Annu_SCDPT1'!$AE$1036</definedName>
    <definedName name="SCDPT1_45BEGIN_28" localSheetId="0">'GMIC_2020-Annu_SCDPT1'!$AF$1036</definedName>
    <definedName name="SCDPT1_45BEGIN_29" localSheetId="0">'GMIC_2020-Annu_SCDPT1'!$AG$1036</definedName>
    <definedName name="SCDPT1_45BEGIN_3" localSheetId="0">'GMIC_2020-Annu_SCDPT1'!$E$1036</definedName>
    <definedName name="SCDPT1_45BEGIN_30" localSheetId="0">'GMIC_2020-Annu_SCDPT1'!$AH$1036</definedName>
    <definedName name="SCDPT1_45BEGIN_31" localSheetId="0">'GMIC_2020-Annu_SCDPT1'!$AI$1036</definedName>
    <definedName name="SCDPT1_45BEGIN_32" localSheetId="0">'GMIC_2020-Annu_SCDPT1'!$AJ$1036</definedName>
    <definedName name="SCDPT1_45BEGIN_33" localSheetId="0">'GMIC_2020-Annu_SCDPT1'!$AK$1036</definedName>
    <definedName name="SCDPT1_45BEGIN_34" localSheetId="0">'GMIC_2020-Annu_SCDPT1'!$AL$1036</definedName>
    <definedName name="SCDPT1_45BEGIN_35" localSheetId="0">'GMIC_2020-Annu_SCDPT1'!$AM$1036</definedName>
    <definedName name="SCDPT1_45BEGIN_4" localSheetId="0">'GMIC_2020-Annu_SCDPT1'!$F$1036</definedName>
    <definedName name="SCDPT1_45BEGIN_5" localSheetId="0">'GMIC_2020-Annu_SCDPT1'!$G$1036</definedName>
    <definedName name="SCDPT1_45BEGIN_6.01" localSheetId="0">'GMIC_2020-Annu_SCDPT1'!$H$1036</definedName>
    <definedName name="SCDPT1_45BEGIN_6.02" localSheetId="0">'GMIC_2020-Annu_SCDPT1'!$I$1036</definedName>
    <definedName name="SCDPT1_45BEGIN_6.03" localSheetId="0">'GMIC_2020-Annu_SCDPT1'!$J$1036</definedName>
    <definedName name="SCDPT1_45BEGIN_7" localSheetId="0">'GMIC_2020-Annu_SCDPT1'!$K$1036</definedName>
    <definedName name="SCDPT1_45BEGIN_8" localSheetId="0">'GMIC_2020-Annu_SCDPT1'!$L$1036</definedName>
    <definedName name="SCDPT1_45BEGIN_9" localSheetId="0">'GMIC_2020-Annu_SCDPT1'!$M$1036</definedName>
    <definedName name="SCDPT1_45ENDIN_10" localSheetId="0">'GMIC_2020-Annu_SCDPT1'!$N$1038</definedName>
    <definedName name="SCDPT1_45ENDIN_11" localSheetId="0">'GMIC_2020-Annu_SCDPT1'!$O$1038</definedName>
    <definedName name="SCDPT1_45ENDIN_12" localSheetId="0">'GMIC_2020-Annu_SCDPT1'!$P$1038</definedName>
    <definedName name="SCDPT1_45ENDIN_13" localSheetId="0">'GMIC_2020-Annu_SCDPT1'!$Q$1038</definedName>
    <definedName name="SCDPT1_45ENDIN_14" localSheetId="0">'GMIC_2020-Annu_SCDPT1'!$R$1038</definedName>
    <definedName name="SCDPT1_45ENDIN_15" localSheetId="0">'GMIC_2020-Annu_SCDPT1'!$S$1038</definedName>
    <definedName name="SCDPT1_45ENDIN_16" localSheetId="0">'GMIC_2020-Annu_SCDPT1'!$T$1038</definedName>
    <definedName name="SCDPT1_45ENDIN_17" localSheetId="0">'GMIC_2020-Annu_SCDPT1'!$U$1038</definedName>
    <definedName name="SCDPT1_45ENDIN_18" localSheetId="0">'GMIC_2020-Annu_SCDPT1'!$V$1038</definedName>
    <definedName name="SCDPT1_45ENDIN_19" localSheetId="0">'GMIC_2020-Annu_SCDPT1'!$W$1038</definedName>
    <definedName name="SCDPT1_45ENDIN_2" localSheetId="0">'GMIC_2020-Annu_SCDPT1'!$D$1038</definedName>
    <definedName name="SCDPT1_45ENDIN_20" localSheetId="0">'GMIC_2020-Annu_SCDPT1'!$X$1038</definedName>
    <definedName name="SCDPT1_45ENDIN_21" localSheetId="0">'GMIC_2020-Annu_SCDPT1'!$Y$1038</definedName>
    <definedName name="SCDPT1_45ENDIN_22" localSheetId="0">'GMIC_2020-Annu_SCDPT1'!$Z$1038</definedName>
    <definedName name="SCDPT1_45ENDIN_23" localSheetId="0">'GMIC_2020-Annu_SCDPT1'!$AA$1038</definedName>
    <definedName name="SCDPT1_45ENDIN_24" localSheetId="0">'GMIC_2020-Annu_SCDPT1'!$AB$1038</definedName>
    <definedName name="SCDPT1_45ENDIN_25" localSheetId="0">'GMIC_2020-Annu_SCDPT1'!$AC$1038</definedName>
    <definedName name="SCDPT1_45ENDIN_26" localSheetId="0">'GMIC_2020-Annu_SCDPT1'!$AD$1038</definedName>
    <definedName name="SCDPT1_45ENDIN_27" localSheetId="0">'GMIC_2020-Annu_SCDPT1'!$AE$1038</definedName>
    <definedName name="SCDPT1_45ENDIN_28" localSheetId="0">'GMIC_2020-Annu_SCDPT1'!$AF$1038</definedName>
    <definedName name="SCDPT1_45ENDIN_29" localSheetId="0">'GMIC_2020-Annu_SCDPT1'!$AG$1038</definedName>
    <definedName name="SCDPT1_45ENDIN_3" localSheetId="0">'GMIC_2020-Annu_SCDPT1'!$E$1038</definedName>
    <definedName name="SCDPT1_45ENDIN_30" localSheetId="0">'GMIC_2020-Annu_SCDPT1'!$AH$1038</definedName>
    <definedName name="SCDPT1_45ENDIN_31" localSheetId="0">'GMIC_2020-Annu_SCDPT1'!$AI$1038</definedName>
    <definedName name="SCDPT1_45ENDIN_32" localSheetId="0">'GMIC_2020-Annu_SCDPT1'!$AJ$1038</definedName>
    <definedName name="SCDPT1_45ENDIN_33" localSheetId="0">'GMIC_2020-Annu_SCDPT1'!$AK$1038</definedName>
    <definedName name="SCDPT1_45ENDIN_34" localSheetId="0">'GMIC_2020-Annu_SCDPT1'!$AL$1038</definedName>
    <definedName name="SCDPT1_45ENDIN_35" localSheetId="0">'GMIC_2020-Annu_SCDPT1'!$AM$1038</definedName>
    <definedName name="SCDPT1_45ENDIN_4" localSheetId="0">'GMIC_2020-Annu_SCDPT1'!$F$1038</definedName>
    <definedName name="SCDPT1_45ENDIN_5" localSheetId="0">'GMIC_2020-Annu_SCDPT1'!$G$1038</definedName>
    <definedName name="SCDPT1_45ENDIN_6.01" localSheetId="0">'GMIC_2020-Annu_SCDPT1'!$H$1038</definedName>
    <definedName name="SCDPT1_45ENDIN_6.02" localSheetId="0">'GMIC_2020-Annu_SCDPT1'!$I$1038</definedName>
    <definedName name="SCDPT1_45ENDIN_6.03" localSheetId="0">'GMIC_2020-Annu_SCDPT1'!$J$1038</definedName>
    <definedName name="SCDPT1_45ENDIN_7" localSheetId="0">'GMIC_2020-Annu_SCDPT1'!$K$1038</definedName>
    <definedName name="SCDPT1_45ENDIN_8" localSheetId="0">'GMIC_2020-Annu_SCDPT1'!$L$1038</definedName>
    <definedName name="SCDPT1_45ENDIN_9" localSheetId="0">'GMIC_2020-Annu_SCDPT1'!$M$1038</definedName>
    <definedName name="SCDPT1_4899999_10" localSheetId="0">'GMIC_2020-Annu_SCDPT1'!$N$1040</definedName>
    <definedName name="SCDPT1_4899999_11" localSheetId="0">'GMIC_2020-Annu_SCDPT1'!$O$1040</definedName>
    <definedName name="SCDPT1_4899999_12" localSheetId="0">'GMIC_2020-Annu_SCDPT1'!$P$1040</definedName>
    <definedName name="SCDPT1_4899999_13" localSheetId="0">'GMIC_2020-Annu_SCDPT1'!$Q$1040</definedName>
    <definedName name="SCDPT1_4899999_14" localSheetId="0">'GMIC_2020-Annu_SCDPT1'!$R$1040</definedName>
    <definedName name="SCDPT1_4899999_15" localSheetId="0">'GMIC_2020-Annu_SCDPT1'!$S$1040</definedName>
    <definedName name="SCDPT1_4899999_19" localSheetId="0">'GMIC_2020-Annu_SCDPT1'!$W$1040</definedName>
    <definedName name="SCDPT1_4899999_20" localSheetId="0">'GMIC_2020-Annu_SCDPT1'!$X$1040</definedName>
    <definedName name="SCDPT1_4899999_7" localSheetId="0">'GMIC_2020-Annu_SCDPT1'!$K$1040</definedName>
    <definedName name="SCDPT1_4899999_9" localSheetId="0">'GMIC_2020-Annu_SCDPT1'!$M$1040</definedName>
    <definedName name="SCDPT1_4900000_Range" localSheetId="0">'GMIC_2020-Annu_SCDPT1'!$B$1041:$AM$1043</definedName>
    <definedName name="SCDPT1_4999999_10" localSheetId="0">'GMIC_2020-Annu_SCDPT1'!$N$1044</definedName>
    <definedName name="SCDPT1_4999999_11" localSheetId="0">'GMIC_2020-Annu_SCDPT1'!$O$1044</definedName>
    <definedName name="SCDPT1_4999999_12" localSheetId="0">'GMIC_2020-Annu_SCDPT1'!$P$1044</definedName>
    <definedName name="SCDPT1_4999999_13" localSheetId="0">'GMIC_2020-Annu_SCDPT1'!$Q$1044</definedName>
    <definedName name="SCDPT1_4999999_14" localSheetId="0">'GMIC_2020-Annu_SCDPT1'!$R$1044</definedName>
    <definedName name="SCDPT1_4999999_15" localSheetId="0">'GMIC_2020-Annu_SCDPT1'!$S$1044</definedName>
    <definedName name="SCDPT1_4999999_19" localSheetId="0">'GMIC_2020-Annu_SCDPT1'!$W$1044</definedName>
    <definedName name="SCDPT1_4999999_20" localSheetId="0">'GMIC_2020-Annu_SCDPT1'!$X$1044</definedName>
    <definedName name="SCDPT1_4999999_7" localSheetId="0">'GMIC_2020-Annu_SCDPT1'!$K$1044</definedName>
    <definedName name="SCDPT1_4999999_9" localSheetId="0">'GMIC_2020-Annu_SCDPT1'!$M$1044</definedName>
    <definedName name="SCDPT1_49BEGIN_1" localSheetId="0">'GMIC_2020-Annu_SCDPT1'!$C$1041</definedName>
    <definedName name="SCDPT1_49BEGIN_10" localSheetId="0">'GMIC_2020-Annu_SCDPT1'!$N$1041</definedName>
    <definedName name="SCDPT1_49BEGIN_11" localSheetId="0">'GMIC_2020-Annu_SCDPT1'!$O$1041</definedName>
    <definedName name="SCDPT1_49BEGIN_12" localSheetId="0">'GMIC_2020-Annu_SCDPT1'!$P$1041</definedName>
    <definedName name="SCDPT1_49BEGIN_13" localSheetId="0">'GMIC_2020-Annu_SCDPT1'!$Q$1041</definedName>
    <definedName name="SCDPT1_49BEGIN_14" localSheetId="0">'GMIC_2020-Annu_SCDPT1'!$R$1041</definedName>
    <definedName name="SCDPT1_49BEGIN_15" localSheetId="0">'GMIC_2020-Annu_SCDPT1'!$S$1041</definedName>
    <definedName name="SCDPT1_49BEGIN_16" localSheetId="0">'GMIC_2020-Annu_SCDPT1'!$T$1041</definedName>
    <definedName name="SCDPT1_49BEGIN_17" localSheetId="0">'GMIC_2020-Annu_SCDPT1'!$U$1041</definedName>
    <definedName name="SCDPT1_49BEGIN_18" localSheetId="0">'GMIC_2020-Annu_SCDPT1'!$V$1041</definedName>
    <definedName name="SCDPT1_49BEGIN_19" localSheetId="0">'GMIC_2020-Annu_SCDPT1'!$W$1041</definedName>
    <definedName name="SCDPT1_49BEGIN_2" localSheetId="0">'GMIC_2020-Annu_SCDPT1'!$D$1041</definedName>
    <definedName name="SCDPT1_49BEGIN_20" localSheetId="0">'GMIC_2020-Annu_SCDPT1'!$X$1041</definedName>
    <definedName name="SCDPT1_49BEGIN_21" localSheetId="0">'GMIC_2020-Annu_SCDPT1'!$Y$1041</definedName>
    <definedName name="SCDPT1_49BEGIN_22" localSheetId="0">'GMIC_2020-Annu_SCDPT1'!$Z$1041</definedName>
    <definedName name="SCDPT1_49BEGIN_23" localSheetId="0">'GMIC_2020-Annu_SCDPT1'!$AA$1041</definedName>
    <definedName name="SCDPT1_49BEGIN_24" localSheetId="0">'GMIC_2020-Annu_SCDPT1'!$AB$1041</definedName>
    <definedName name="SCDPT1_49BEGIN_25" localSheetId="0">'GMIC_2020-Annu_SCDPT1'!$AC$1041</definedName>
    <definedName name="SCDPT1_49BEGIN_26" localSheetId="0">'GMIC_2020-Annu_SCDPT1'!$AD$1041</definedName>
    <definedName name="SCDPT1_49BEGIN_27" localSheetId="0">'GMIC_2020-Annu_SCDPT1'!$AE$1041</definedName>
    <definedName name="SCDPT1_49BEGIN_28" localSheetId="0">'GMIC_2020-Annu_SCDPT1'!$AF$1041</definedName>
    <definedName name="SCDPT1_49BEGIN_29" localSheetId="0">'GMIC_2020-Annu_SCDPT1'!$AG$1041</definedName>
    <definedName name="SCDPT1_49BEGIN_3" localSheetId="0">'GMIC_2020-Annu_SCDPT1'!$E$1041</definedName>
    <definedName name="SCDPT1_49BEGIN_30" localSheetId="0">'GMIC_2020-Annu_SCDPT1'!$AH$1041</definedName>
    <definedName name="SCDPT1_49BEGIN_31" localSheetId="0">'GMIC_2020-Annu_SCDPT1'!$AI$1041</definedName>
    <definedName name="SCDPT1_49BEGIN_32" localSheetId="0">'GMIC_2020-Annu_SCDPT1'!$AJ$1041</definedName>
    <definedName name="SCDPT1_49BEGIN_33" localSheetId="0">'GMIC_2020-Annu_SCDPT1'!$AK$1041</definedName>
    <definedName name="SCDPT1_49BEGIN_34" localSheetId="0">'GMIC_2020-Annu_SCDPT1'!$AL$1041</definedName>
    <definedName name="SCDPT1_49BEGIN_35" localSheetId="0">'GMIC_2020-Annu_SCDPT1'!$AM$1041</definedName>
    <definedName name="SCDPT1_49BEGIN_4" localSheetId="0">'GMIC_2020-Annu_SCDPT1'!$F$1041</definedName>
    <definedName name="SCDPT1_49BEGIN_5" localSheetId="0">'GMIC_2020-Annu_SCDPT1'!$G$1041</definedName>
    <definedName name="SCDPT1_49BEGIN_6.01" localSheetId="0">'GMIC_2020-Annu_SCDPT1'!$H$1041</definedName>
    <definedName name="SCDPT1_49BEGIN_6.02" localSheetId="0">'GMIC_2020-Annu_SCDPT1'!$I$1041</definedName>
    <definedName name="SCDPT1_49BEGIN_6.03" localSheetId="0">'GMIC_2020-Annu_SCDPT1'!$J$1041</definedName>
    <definedName name="SCDPT1_49BEGIN_7" localSheetId="0">'GMIC_2020-Annu_SCDPT1'!$K$1041</definedName>
    <definedName name="SCDPT1_49BEGIN_8" localSheetId="0">'GMIC_2020-Annu_SCDPT1'!$L$1041</definedName>
    <definedName name="SCDPT1_49BEGIN_9" localSheetId="0">'GMIC_2020-Annu_SCDPT1'!$M$1041</definedName>
    <definedName name="SCDPT1_49ENDIN_10" localSheetId="0">'GMIC_2020-Annu_SCDPT1'!$N$1043</definedName>
    <definedName name="SCDPT1_49ENDIN_11" localSheetId="0">'GMIC_2020-Annu_SCDPT1'!$O$1043</definedName>
    <definedName name="SCDPT1_49ENDIN_12" localSheetId="0">'GMIC_2020-Annu_SCDPT1'!$P$1043</definedName>
    <definedName name="SCDPT1_49ENDIN_13" localSheetId="0">'GMIC_2020-Annu_SCDPT1'!$Q$1043</definedName>
    <definedName name="SCDPT1_49ENDIN_14" localSheetId="0">'GMIC_2020-Annu_SCDPT1'!$R$1043</definedName>
    <definedName name="SCDPT1_49ENDIN_15" localSheetId="0">'GMIC_2020-Annu_SCDPT1'!$S$1043</definedName>
    <definedName name="SCDPT1_49ENDIN_16" localSheetId="0">'GMIC_2020-Annu_SCDPT1'!$T$1043</definedName>
    <definedName name="SCDPT1_49ENDIN_17" localSheetId="0">'GMIC_2020-Annu_SCDPT1'!$U$1043</definedName>
    <definedName name="SCDPT1_49ENDIN_18" localSheetId="0">'GMIC_2020-Annu_SCDPT1'!$V$1043</definedName>
    <definedName name="SCDPT1_49ENDIN_19" localSheetId="0">'GMIC_2020-Annu_SCDPT1'!$W$1043</definedName>
    <definedName name="SCDPT1_49ENDIN_2" localSheetId="0">'GMIC_2020-Annu_SCDPT1'!$D$1043</definedName>
    <definedName name="SCDPT1_49ENDIN_20" localSheetId="0">'GMIC_2020-Annu_SCDPT1'!$X$1043</definedName>
    <definedName name="SCDPT1_49ENDIN_21" localSheetId="0">'GMIC_2020-Annu_SCDPT1'!$Y$1043</definedName>
    <definedName name="SCDPT1_49ENDIN_22" localSheetId="0">'GMIC_2020-Annu_SCDPT1'!$Z$1043</definedName>
    <definedName name="SCDPT1_49ENDIN_23" localSheetId="0">'GMIC_2020-Annu_SCDPT1'!$AA$1043</definedName>
    <definedName name="SCDPT1_49ENDIN_24" localSheetId="0">'GMIC_2020-Annu_SCDPT1'!$AB$1043</definedName>
    <definedName name="SCDPT1_49ENDIN_25" localSheetId="0">'GMIC_2020-Annu_SCDPT1'!$AC$1043</definedName>
    <definedName name="SCDPT1_49ENDIN_26" localSheetId="0">'GMIC_2020-Annu_SCDPT1'!$AD$1043</definedName>
    <definedName name="SCDPT1_49ENDIN_27" localSheetId="0">'GMIC_2020-Annu_SCDPT1'!$AE$1043</definedName>
    <definedName name="SCDPT1_49ENDIN_28" localSheetId="0">'GMIC_2020-Annu_SCDPT1'!$AF$1043</definedName>
    <definedName name="SCDPT1_49ENDIN_29" localSheetId="0">'GMIC_2020-Annu_SCDPT1'!$AG$1043</definedName>
    <definedName name="SCDPT1_49ENDIN_3" localSheetId="0">'GMIC_2020-Annu_SCDPT1'!$E$1043</definedName>
    <definedName name="SCDPT1_49ENDIN_30" localSheetId="0">'GMIC_2020-Annu_SCDPT1'!$AH$1043</definedName>
    <definedName name="SCDPT1_49ENDIN_31" localSheetId="0">'GMIC_2020-Annu_SCDPT1'!$AI$1043</definedName>
    <definedName name="SCDPT1_49ENDIN_32" localSheetId="0">'GMIC_2020-Annu_SCDPT1'!$AJ$1043</definedName>
    <definedName name="SCDPT1_49ENDIN_33" localSheetId="0">'GMIC_2020-Annu_SCDPT1'!$AK$1043</definedName>
    <definedName name="SCDPT1_49ENDIN_34" localSheetId="0">'GMIC_2020-Annu_SCDPT1'!$AL$1043</definedName>
    <definedName name="SCDPT1_49ENDIN_35" localSheetId="0">'GMIC_2020-Annu_SCDPT1'!$AM$1043</definedName>
    <definedName name="SCDPT1_49ENDIN_4" localSheetId="0">'GMIC_2020-Annu_SCDPT1'!$F$1043</definedName>
    <definedName name="SCDPT1_49ENDIN_5" localSheetId="0">'GMIC_2020-Annu_SCDPT1'!$G$1043</definedName>
    <definedName name="SCDPT1_49ENDIN_6.01" localSheetId="0">'GMIC_2020-Annu_SCDPT1'!$H$1043</definedName>
    <definedName name="SCDPT1_49ENDIN_6.02" localSheetId="0">'GMIC_2020-Annu_SCDPT1'!$I$1043</definedName>
    <definedName name="SCDPT1_49ENDIN_6.03" localSheetId="0">'GMIC_2020-Annu_SCDPT1'!$J$1043</definedName>
    <definedName name="SCDPT1_49ENDIN_7" localSheetId="0">'GMIC_2020-Annu_SCDPT1'!$K$1043</definedName>
    <definedName name="SCDPT1_49ENDIN_8" localSheetId="0">'GMIC_2020-Annu_SCDPT1'!$L$1043</definedName>
    <definedName name="SCDPT1_49ENDIN_9" localSheetId="0">'GMIC_2020-Annu_SCDPT1'!$M$1043</definedName>
    <definedName name="SCDPT1_5000000_Range" localSheetId="0">'GMIC_2020-Annu_SCDPT1'!$B$1045:$AM$1047</definedName>
    <definedName name="SCDPT1_5099999_10" localSheetId="0">'GMIC_2020-Annu_SCDPT1'!$N$1048</definedName>
    <definedName name="SCDPT1_5099999_11" localSheetId="0">'GMIC_2020-Annu_SCDPT1'!$O$1048</definedName>
    <definedName name="SCDPT1_5099999_12" localSheetId="0">'GMIC_2020-Annu_SCDPT1'!$P$1048</definedName>
    <definedName name="SCDPT1_5099999_13" localSheetId="0">'GMIC_2020-Annu_SCDPT1'!$Q$1048</definedName>
    <definedName name="SCDPT1_5099999_14" localSheetId="0">'GMIC_2020-Annu_SCDPT1'!$R$1048</definedName>
    <definedName name="SCDPT1_5099999_15" localSheetId="0">'GMIC_2020-Annu_SCDPT1'!$S$1048</definedName>
    <definedName name="SCDPT1_5099999_19" localSheetId="0">'GMIC_2020-Annu_SCDPT1'!$W$1048</definedName>
    <definedName name="SCDPT1_5099999_20" localSheetId="0">'GMIC_2020-Annu_SCDPT1'!$X$1048</definedName>
    <definedName name="SCDPT1_5099999_7" localSheetId="0">'GMIC_2020-Annu_SCDPT1'!$K$1048</definedName>
    <definedName name="SCDPT1_5099999_9" localSheetId="0">'GMIC_2020-Annu_SCDPT1'!$M$1048</definedName>
    <definedName name="SCDPT1_50BEGIN_1" localSheetId="0">'GMIC_2020-Annu_SCDPT1'!$C$1045</definedName>
    <definedName name="SCDPT1_50BEGIN_10" localSheetId="0">'GMIC_2020-Annu_SCDPT1'!$N$1045</definedName>
    <definedName name="SCDPT1_50BEGIN_11" localSheetId="0">'GMIC_2020-Annu_SCDPT1'!$O$1045</definedName>
    <definedName name="SCDPT1_50BEGIN_12" localSheetId="0">'GMIC_2020-Annu_SCDPT1'!$P$1045</definedName>
    <definedName name="SCDPT1_50BEGIN_13" localSheetId="0">'GMIC_2020-Annu_SCDPT1'!$Q$1045</definedName>
    <definedName name="SCDPT1_50BEGIN_14" localSheetId="0">'GMIC_2020-Annu_SCDPT1'!$R$1045</definedName>
    <definedName name="SCDPT1_50BEGIN_15" localSheetId="0">'GMIC_2020-Annu_SCDPT1'!$S$1045</definedName>
    <definedName name="SCDPT1_50BEGIN_16" localSheetId="0">'GMIC_2020-Annu_SCDPT1'!$T$1045</definedName>
    <definedName name="SCDPT1_50BEGIN_17" localSheetId="0">'GMIC_2020-Annu_SCDPT1'!$U$1045</definedName>
    <definedName name="SCDPT1_50BEGIN_18" localSheetId="0">'GMIC_2020-Annu_SCDPT1'!$V$1045</definedName>
    <definedName name="SCDPT1_50BEGIN_19" localSheetId="0">'GMIC_2020-Annu_SCDPT1'!$W$1045</definedName>
    <definedName name="SCDPT1_50BEGIN_2" localSheetId="0">'GMIC_2020-Annu_SCDPT1'!$D$1045</definedName>
    <definedName name="SCDPT1_50BEGIN_20" localSheetId="0">'GMIC_2020-Annu_SCDPT1'!$X$1045</definedName>
    <definedName name="SCDPT1_50BEGIN_21" localSheetId="0">'GMIC_2020-Annu_SCDPT1'!$Y$1045</definedName>
    <definedName name="SCDPT1_50BEGIN_22" localSheetId="0">'GMIC_2020-Annu_SCDPT1'!$Z$1045</definedName>
    <definedName name="SCDPT1_50BEGIN_23" localSheetId="0">'GMIC_2020-Annu_SCDPT1'!$AA$1045</definedName>
    <definedName name="SCDPT1_50BEGIN_24" localSheetId="0">'GMIC_2020-Annu_SCDPT1'!$AB$1045</definedName>
    <definedName name="SCDPT1_50BEGIN_25" localSheetId="0">'GMIC_2020-Annu_SCDPT1'!$AC$1045</definedName>
    <definedName name="SCDPT1_50BEGIN_26" localSheetId="0">'GMIC_2020-Annu_SCDPT1'!$AD$1045</definedName>
    <definedName name="SCDPT1_50BEGIN_27" localSheetId="0">'GMIC_2020-Annu_SCDPT1'!$AE$1045</definedName>
    <definedName name="SCDPT1_50BEGIN_28" localSheetId="0">'GMIC_2020-Annu_SCDPT1'!$AF$1045</definedName>
    <definedName name="SCDPT1_50BEGIN_29" localSheetId="0">'GMIC_2020-Annu_SCDPT1'!$AG$1045</definedName>
    <definedName name="SCDPT1_50BEGIN_3" localSheetId="0">'GMIC_2020-Annu_SCDPT1'!$E$1045</definedName>
    <definedName name="SCDPT1_50BEGIN_30" localSheetId="0">'GMIC_2020-Annu_SCDPT1'!$AH$1045</definedName>
    <definedName name="SCDPT1_50BEGIN_31" localSheetId="0">'GMIC_2020-Annu_SCDPT1'!$AI$1045</definedName>
    <definedName name="SCDPT1_50BEGIN_32" localSheetId="0">'GMIC_2020-Annu_SCDPT1'!$AJ$1045</definedName>
    <definedName name="SCDPT1_50BEGIN_33" localSheetId="0">'GMIC_2020-Annu_SCDPT1'!$AK$1045</definedName>
    <definedName name="SCDPT1_50BEGIN_34" localSheetId="0">'GMIC_2020-Annu_SCDPT1'!$AL$1045</definedName>
    <definedName name="SCDPT1_50BEGIN_35" localSheetId="0">'GMIC_2020-Annu_SCDPT1'!$AM$1045</definedName>
    <definedName name="SCDPT1_50BEGIN_4" localSheetId="0">'GMIC_2020-Annu_SCDPT1'!$F$1045</definedName>
    <definedName name="SCDPT1_50BEGIN_5" localSheetId="0">'GMIC_2020-Annu_SCDPT1'!$G$1045</definedName>
    <definedName name="SCDPT1_50BEGIN_6.01" localSheetId="0">'GMIC_2020-Annu_SCDPT1'!$H$1045</definedName>
    <definedName name="SCDPT1_50BEGIN_6.02" localSheetId="0">'GMIC_2020-Annu_SCDPT1'!$I$1045</definedName>
    <definedName name="SCDPT1_50BEGIN_6.03" localSheetId="0">'GMIC_2020-Annu_SCDPT1'!$J$1045</definedName>
    <definedName name="SCDPT1_50BEGIN_7" localSheetId="0">'GMIC_2020-Annu_SCDPT1'!$K$1045</definedName>
    <definedName name="SCDPT1_50BEGIN_8" localSheetId="0">'GMIC_2020-Annu_SCDPT1'!$L$1045</definedName>
    <definedName name="SCDPT1_50BEGIN_9" localSheetId="0">'GMIC_2020-Annu_SCDPT1'!$M$1045</definedName>
    <definedName name="SCDPT1_50ENDIN_10" localSheetId="0">'GMIC_2020-Annu_SCDPT1'!$N$1047</definedName>
    <definedName name="SCDPT1_50ENDIN_11" localSheetId="0">'GMIC_2020-Annu_SCDPT1'!$O$1047</definedName>
    <definedName name="SCDPT1_50ENDIN_12" localSheetId="0">'GMIC_2020-Annu_SCDPT1'!$P$1047</definedName>
    <definedName name="SCDPT1_50ENDIN_13" localSheetId="0">'GMIC_2020-Annu_SCDPT1'!$Q$1047</definedName>
    <definedName name="SCDPT1_50ENDIN_14" localSheetId="0">'GMIC_2020-Annu_SCDPT1'!$R$1047</definedName>
    <definedName name="SCDPT1_50ENDIN_15" localSheetId="0">'GMIC_2020-Annu_SCDPT1'!$S$1047</definedName>
    <definedName name="SCDPT1_50ENDIN_16" localSheetId="0">'GMIC_2020-Annu_SCDPT1'!$T$1047</definedName>
    <definedName name="SCDPT1_50ENDIN_17" localSheetId="0">'GMIC_2020-Annu_SCDPT1'!$U$1047</definedName>
    <definedName name="SCDPT1_50ENDIN_18" localSheetId="0">'GMIC_2020-Annu_SCDPT1'!$V$1047</definedName>
    <definedName name="SCDPT1_50ENDIN_19" localSheetId="0">'GMIC_2020-Annu_SCDPT1'!$W$1047</definedName>
    <definedName name="SCDPT1_50ENDIN_2" localSheetId="0">'GMIC_2020-Annu_SCDPT1'!$D$1047</definedName>
    <definedName name="SCDPT1_50ENDIN_20" localSheetId="0">'GMIC_2020-Annu_SCDPT1'!$X$1047</definedName>
    <definedName name="SCDPT1_50ENDIN_21" localSheetId="0">'GMIC_2020-Annu_SCDPT1'!$Y$1047</definedName>
    <definedName name="SCDPT1_50ENDIN_22" localSheetId="0">'GMIC_2020-Annu_SCDPT1'!$Z$1047</definedName>
    <definedName name="SCDPT1_50ENDIN_23" localSheetId="0">'GMIC_2020-Annu_SCDPT1'!$AA$1047</definedName>
    <definedName name="SCDPT1_50ENDIN_24" localSheetId="0">'GMIC_2020-Annu_SCDPT1'!$AB$1047</definedName>
    <definedName name="SCDPT1_50ENDIN_25" localSheetId="0">'GMIC_2020-Annu_SCDPT1'!$AC$1047</definedName>
    <definedName name="SCDPT1_50ENDIN_26" localSheetId="0">'GMIC_2020-Annu_SCDPT1'!$AD$1047</definedName>
    <definedName name="SCDPT1_50ENDIN_27" localSheetId="0">'GMIC_2020-Annu_SCDPT1'!$AE$1047</definedName>
    <definedName name="SCDPT1_50ENDIN_28" localSheetId="0">'GMIC_2020-Annu_SCDPT1'!$AF$1047</definedName>
    <definedName name="SCDPT1_50ENDIN_29" localSheetId="0">'GMIC_2020-Annu_SCDPT1'!$AG$1047</definedName>
    <definedName name="SCDPT1_50ENDIN_3" localSheetId="0">'GMIC_2020-Annu_SCDPT1'!$E$1047</definedName>
    <definedName name="SCDPT1_50ENDIN_30" localSheetId="0">'GMIC_2020-Annu_SCDPT1'!$AH$1047</definedName>
    <definedName name="SCDPT1_50ENDIN_31" localSheetId="0">'GMIC_2020-Annu_SCDPT1'!$AI$1047</definedName>
    <definedName name="SCDPT1_50ENDIN_32" localSheetId="0">'GMIC_2020-Annu_SCDPT1'!$AJ$1047</definedName>
    <definedName name="SCDPT1_50ENDIN_33" localSheetId="0">'GMIC_2020-Annu_SCDPT1'!$AK$1047</definedName>
    <definedName name="SCDPT1_50ENDIN_34" localSheetId="0">'GMIC_2020-Annu_SCDPT1'!$AL$1047</definedName>
    <definedName name="SCDPT1_50ENDIN_35" localSheetId="0">'GMIC_2020-Annu_SCDPT1'!$AM$1047</definedName>
    <definedName name="SCDPT1_50ENDIN_4" localSheetId="0">'GMIC_2020-Annu_SCDPT1'!$F$1047</definedName>
    <definedName name="SCDPT1_50ENDIN_5" localSheetId="0">'GMIC_2020-Annu_SCDPT1'!$G$1047</definedName>
    <definedName name="SCDPT1_50ENDIN_6.01" localSheetId="0">'GMIC_2020-Annu_SCDPT1'!$H$1047</definedName>
    <definedName name="SCDPT1_50ENDIN_6.02" localSheetId="0">'GMIC_2020-Annu_SCDPT1'!$I$1047</definedName>
    <definedName name="SCDPT1_50ENDIN_6.03" localSheetId="0">'GMIC_2020-Annu_SCDPT1'!$J$1047</definedName>
    <definedName name="SCDPT1_50ENDIN_7" localSheetId="0">'GMIC_2020-Annu_SCDPT1'!$K$1047</definedName>
    <definedName name="SCDPT1_50ENDIN_8" localSheetId="0">'GMIC_2020-Annu_SCDPT1'!$L$1047</definedName>
    <definedName name="SCDPT1_50ENDIN_9" localSheetId="0">'GMIC_2020-Annu_SCDPT1'!$M$1047</definedName>
    <definedName name="SCDPT1_5100000_Range" localSheetId="0">'GMIC_2020-Annu_SCDPT1'!$B$1049:$AM$1051</definedName>
    <definedName name="SCDPT1_5199999_10" localSheetId="0">'GMIC_2020-Annu_SCDPT1'!$N$1052</definedName>
    <definedName name="SCDPT1_5199999_11" localSheetId="0">'GMIC_2020-Annu_SCDPT1'!$O$1052</definedName>
    <definedName name="SCDPT1_5199999_12" localSheetId="0">'GMIC_2020-Annu_SCDPT1'!$P$1052</definedName>
    <definedName name="SCDPT1_5199999_13" localSheetId="0">'GMIC_2020-Annu_SCDPT1'!$Q$1052</definedName>
    <definedName name="SCDPT1_5199999_14" localSheetId="0">'GMIC_2020-Annu_SCDPT1'!$R$1052</definedName>
    <definedName name="SCDPT1_5199999_15" localSheetId="0">'GMIC_2020-Annu_SCDPT1'!$S$1052</definedName>
    <definedName name="SCDPT1_5199999_19" localSheetId="0">'GMIC_2020-Annu_SCDPT1'!$W$1052</definedName>
    <definedName name="SCDPT1_5199999_20" localSheetId="0">'GMIC_2020-Annu_SCDPT1'!$X$1052</definedName>
    <definedName name="SCDPT1_5199999_7" localSheetId="0">'GMIC_2020-Annu_SCDPT1'!$K$1052</definedName>
    <definedName name="SCDPT1_5199999_9" localSheetId="0">'GMIC_2020-Annu_SCDPT1'!$M$1052</definedName>
    <definedName name="SCDPT1_51BEGIN_1" localSheetId="0">'GMIC_2020-Annu_SCDPT1'!$C$1049</definedName>
    <definedName name="SCDPT1_51BEGIN_10" localSheetId="0">'GMIC_2020-Annu_SCDPT1'!$N$1049</definedName>
    <definedName name="SCDPT1_51BEGIN_11" localSheetId="0">'GMIC_2020-Annu_SCDPT1'!$O$1049</definedName>
    <definedName name="SCDPT1_51BEGIN_12" localSheetId="0">'GMIC_2020-Annu_SCDPT1'!$P$1049</definedName>
    <definedName name="SCDPT1_51BEGIN_13" localSheetId="0">'GMIC_2020-Annu_SCDPT1'!$Q$1049</definedName>
    <definedName name="SCDPT1_51BEGIN_14" localSheetId="0">'GMIC_2020-Annu_SCDPT1'!$R$1049</definedName>
    <definedName name="SCDPT1_51BEGIN_15" localSheetId="0">'GMIC_2020-Annu_SCDPT1'!$S$1049</definedName>
    <definedName name="SCDPT1_51BEGIN_16" localSheetId="0">'GMIC_2020-Annu_SCDPT1'!$T$1049</definedName>
    <definedName name="SCDPT1_51BEGIN_17" localSheetId="0">'GMIC_2020-Annu_SCDPT1'!$U$1049</definedName>
    <definedName name="SCDPT1_51BEGIN_18" localSheetId="0">'GMIC_2020-Annu_SCDPT1'!$V$1049</definedName>
    <definedName name="SCDPT1_51BEGIN_19" localSheetId="0">'GMIC_2020-Annu_SCDPT1'!$W$1049</definedName>
    <definedName name="SCDPT1_51BEGIN_2" localSheetId="0">'GMIC_2020-Annu_SCDPT1'!$D$1049</definedName>
    <definedName name="SCDPT1_51BEGIN_20" localSheetId="0">'GMIC_2020-Annu_SCDPT1'!$X$1049</definedName>
    <definedName name="SCDPT1_51BEGIN_21" localSheetId="0">'GMIC_2020-Annu_SCDPT1'!$Y$1049</definedName>
    <definedName name="SCDPT1_51BEGIN_22" localSheetId="0">'GMIC_2020-Annu_SCDPT1'!$Z$1049</definedName>
    <definedName name="SCDPT1_51BEGIN_23" localSheetId="0">'GMIC_2020-Annu_SCDPT1'!$AA$1049</definedName>
    <definedName name="SCDPT1_51BEGIN_24" localSheetId="0">'GMIC_2020-Annu_SCDPT1'!$AB$1049</definedName>
    <definedName name="SCDPT1_51BEGIN_25" localSheetId="0">'GMIC_2020-Annu_SCDPT1'!$AC$1049</definedName>
    <definedName name="SCDPT1_51BEGIN_26" localSheetId="0">'GMIC_2020-Annu_SCDPT1'!$AD$1049</definedName>
    <definedName name="SCDPT1_51BEGIN_27" localSheetId="0">'GMIC_2020-Annu_SCDPT1'!$AE$1049</definedName>
    <definedName name="SCDPT1_51BEGIN_28" localSheetId="0">'GMIC_2020-Annu_SCDPT1'!$AF$1049</definedName>
    <definedName name="SCDPT1_51BEGIN_29" localSheetId="0">'GMIC_2020-Annu_SCDPT1'!$AG$1049</definedName>
    <definedName name="SCDPT1_51BEGIN_3" localSheetId="0">'GMIC_2020-Annu_SCDPT1'!$E$1049</definedName>
    <definedName name="SCDPT1_51BEGIN_30" localSheetId="0">'GMIC_2020-Annu_SCDPT1'!$AH$1049</definedName>
    <definedName name="SCDPT1_51BEGIN_31" localSheetId="0">'GMIC_2020-Annu_SCDPT1'!$AI$1049</definedName>
    <definedName name="SCDPT1_51BEGIN_32" localSheetId="0">'GMIC_2020-Annu_SCDPT1'!$AJ$1049</definedName>
    <definedName name="SCDPT1_51BEGIN_33" localSheetId="0">'GMIC_2020-Annu_SCDPT1'!$AK$1049</definedName>
    <definedName name="SCDPT1_51BEGIN_34" localSheetId="0">'GMIC_2020-Annu_SCDPT1'!$AL$1049</definedName>
    <definedName name="SCDPT1_51BEGIN_35" localSheetId="0">'GMIC_2020-Annu_SCDPT1'!$AM$1049</definedName>
    <definedName name="SCDPT1_51BEGIN_4" localSheetId="0">'GMIC_2020-Annu_SCDPT1'!$F$1049</definedName>
    <definedName name="SCDPT1_51BEGIN_5" localSheetId="0">'GMIC_2020-Annu_SCDPT1'!$G$1049</definedName>
    <definedName name="SCDPT1_51BEGIN_6.01" localSheetId="0">'GMIC_2020-Annu_SCDPT1'!$H$1049</definedName>
    <definedName name="SCDPT1_51BEGIN_6.02" localSheetId="0">'GMIC_2020-Annu_SCDPT1'!$I$1049</definedName>
    <definedName name="SCDPT1_51BEGIN_6.03" localSheetId="0">'GMIC_2020-Annu_SCDPT1'!$J$1049</definedName>
    <definedName name="SCDPT1_51BEGIN_7" localSheetId="0">'GMIC_2020-Annu_SCDPT1'!$K$1049</definedName>
    <definedName name="SCDPT1_51BEGIN_8" localSheetId="0">'GMIC_2020-Annu_SCDPT1'!$L$1049</definedName>
    <definedName name="SCDPT1_51BEGIN_9" localSheetId="0">'GMIC_2020-Annu_SCDPT1'!$M$1049</definedName>
    <definedName name="SCDPT1_51ENDIN_10" localSheetId="0">'GMIC_2020-Annu_SCDPT1'!$N$1051</definedName>
    <definedName name="SCDPT1_51ENDIN_11" localSheetId="0">'GMIC_2020-Annu_SCDPT1'!$O$1051</definedName>
    <definedName name="SCDPT1_51ENDIN_12" localSheetId="0">'GMIC_2020-Annu_SCDPT1'!$P$1051</definedName>
    <definedName name="SCDPT1_51ENDIN_13" localSheetId="0">'GMIC_2020-Annu_SCDPT1'!$Q$1051</definedName>
    <definedName name="SCDPT1_51ENDIN_14" localSheetId="0">'GMIC_2020-Annu_SCDPT1'!$R$1051</definedName>
    <definedName name="SCDPT1_51ENDIN_15" localSheetId="0">'GMIC_2020-Annu_SCDPT1'!$S$1051</definedName>
    <definedName name="SCDPT1_51ENDIN_16" localSheetId="0">'GMIC_2020-Annu_SCDPT1'!$T$1051</definedName>
    <definedName name="SCDPT1_51ENDIN_17" localSheetId="0">'GMIC_2020-Annu_SCDPT1'!$U$1051</definedName>
    <definedName name="SCDPT1_51ENDIN_18" localSheetId="0">'GMIC_2020-Annu_SCDPT1'!$V$1051</definedName>
    <definedName name="SCDPT1_51ENDIN_19" localSheetId="0">'GMIC_2020-Annu_SCDPT1'!$W$1051</definedName>
    <definedName name="SCDPT1_51ENDIN_2" localSheetId="0">'GMIC_2020-Annu_SCDPT1'!$D$1051</definedName>
    <definedName name="SCDPT1_51ENDIN_20" localSheetId="0">'GMIC_2020-Annu_SCDPT1'!$X$1051</definedName>
    <definedName name="SCDPT1_51ENDIN_21" localSheetId="0">'GMIC_2020-Annu_SCDPT1'!$Y$1051</definedName>
    <definedName name="SCDPT1_51ENDIN_22" localSheetId="0">'GMIC_2020-Annu_SCDPT1'!$Z$1051</definedName>
    <definedName name="SCDPT1_51ENDIN_23" localSheetId="0">'GMIC_2020-Annu_SCDPT1'!$AA$1051</definedName>
    <definedName name="SCDPT1_51ENDIN_24" localSheetId="0">'GMIC_2020-Annu_SCDPT1'!$AB$1051</definedName>
    <definedName name="SCDPT1_51ENDIN_25" localSheetId="0">'GMIC_2020-Annu_SCDPT1'!$AC$1051</definedName>
    <definedName name="SCDPT1_51ENDIN_26" localSheetId="0">'GMIC_2020-Annu_SCDPT1'!$AD$1051</definedName>
    <definedName name="SCDPT1_51ENDIN_27" localSheetId="0">'GMIC_2020-Annu_SCDPT1'!$AE$1051</definedName>
    <definedName name="SCDPT1_51ENDIN_28" localSheetId="0">'GMIC_2020-Annu_SCDPT1'!$AF$1051</definedName>
    <definedName name="SCDPT1_51ENDIN_29" localSheetId="0">'GMIC_2020-Annu_SCDPT1'!$AG$1051</definedName>
    <definedName name="SCDPT1_51ENDIN_3" localSheetId="0">'GMIC_2020-Annu_SCDPT1'!$E$1051</definedName>
    <definedName name="SCDPT1_51ENDIN_30" localSheetId="0">'GMIC_2020-Annu_SCDPT1'!$AH$1051</definedName>
    <definedName name="SCDPT1_51ENDIN_31" localSheetId="0">'GMIC_2020-Annu_SCDPT1'!$AI$1051</definedName>
    <definedName name="SCDPT1_51ENDIN_32" localSheetId="0">'GMIC_2020-Annu_SCDPT1'!$AJ$1051</definedName>
    <definedName name="SCDPT1_51ENDIN_33" localSheetId="0">'GMIC_2020-Annu_SCDPT1'!$AK$1051</definedName>
    <definedName name="SCDPT1_51ENDIN_34" localSheetId="0">'GMIC_2020-Annu_SCDPT1'!$AL$1051</definedName>
    <definedName name="SCDPT1_51ENDIN_35" localSheetId="0">'GMIC_2020-Annu_SCDPT1'!$AM$1051</definedName>
    <definedName name="SCDPT1_51ENDIN_4" localSheetId="0">'GMIC_2020-Annu_SCDPT1'!$F$1051</definedName>
    <definedName name="SCDPT1_51ENDIN_5" localSheetId="0">'GMIC_2020-Annu_SCDPT1'!$G$1051</definedName>
    <definedName name="SCDPT1_51ENDIN_6.01" localSheetId="0">'GMIC_2020-Annu_SCDPT1'!$H$1051</definedName>
    <definedName name="SCDPT1_51ENDIN_6.02" localSheetId="0">'GMIC_2020-Annu_SCDPT1'!$I$1051</definedName>
    <definedName name="SCDPT1_51ENDIN_6.03" localSheetId="0">'GMIC_2020-Annu_SCDPT1'!$J$1051</definedName>
    <definedName name="SCDPT1_51ENDIN_7" localSheetId="0">'GMIC_2020-Annu_SCDPT1'!$K$1051</definedName>
    <definedName name="SCDPT1_51ENDIN_8" localSheetId="0">'GMIC_2020-Annu_SCDPT1'!$L$1051</definedName>
    <definedName name="SCDPT1_51ENDIN_9" localSheetId="0">'GMIC_2020-Annu_SCDPT1'!$M$1051</definedName>
    <definedName name="SCDPT1_5200000_Range" localSheetId="0">'GMIC_2020-Annu_SCDPT1'!$B$1053:$AM$1055</definedName>
    <definedName name="SCDPT1_5299999_10" localSheetId="0">'GMIC_2020-Annu_SCDPT1'!$N$1056</definedName>
    <definedName name="SCDPT1_5299999_11" localSheetId="0">'GMIC_2020-Annu_SCDPT1'!$O$1056</definedName>
    <definedName name="SCDPT1_5299999_12" localSheetId="0">'GMIC_2020-Annu_SCDPT1'!$P$1056</definedName>
    <definedName name="SCDPT1_5299999_13" localSheetId="0">'GMIC_2020-Annu_SCDPT1'!$Q$1056</definedName>
    <definedName name="SCDPT1_5299999_14" localSheetId="0">'GMIC_2020-Annu_SCDPT1'!$R$1056</definedName>
    <definedName name="SCDPT1_5299999_15" localSheetId="0">'GMIC_2020-Annu_SCDPT1'!$S$1056</definedName>
    <definedName name="SCDPT1_5299999_19" localSheetId="0">'GMIC_2020-Annu_SCDPT1'!$W$1056</definedName>
    <definedName name="SCDPT1_5299999_20" localSheetId="0">'GMIC_2020-Annu_SCDPT1'!$X$1056</definedName>
    <definedName name="SCDPT1_5299999_7" localSheetId="0">'GMIC_2020-Annu_SCDPT1'!$K$1056</definedName>
    <definedName name="SCDPT1_5299999_9" localSheetId="0">'GMIC_2020-Annu_SCDPT1'!$M$1056</definedName>
    <definedName name="SCDPT1_52BEGIN_1" localSheetId="0">'GMIC_2020-Annu_SCDPT1'!$C$1053</definedName>
    <definedName name="SCDPT1_52BEGIN_10" localSheetId="0">'GMIC_2020-Annu_SCDPT1'!$N$1053</definedName>
    <definedName name="SCDPT1_52BEGIN_11" localSheetId="0">'GMIC_2020-Annu_SCDPT1'!$O$1053</definedName>
    <definedName name="SCDPT1_52BEGIN_12" localSheetId="0">'GMIC_2020-Annu_SCDPT1'!$P$1053</definedName>
    <definedName name="SCDPT1_52BEGIN_13" localSheetId="0">'GMIC_2020-Annu_SCDPT1'!$Q$1053</definedName>
    <definedName name="SCDPT1_52BEGIN_14" localSheetId="0">'GMIC_2020-Annu_SCDPT1'!$R$1053</definedName>
    <definedName name="SCDPT1_52BEGIN_15" localSheetId="0">'GMIC_2020-Annu_SCDPT1'!$S$1053</definedName>
    <definedName name="SCDPT1_52BEGIN_16" localSheetId="0">'GMIC_2020-Annu_SCDPT1'!$T$1053</definedName>
    <definedName name="SCDPT1_52BEGIN_17" localSheetId="0">'GMIC_2020-Annu_SCDPT1'!$U$1053</definedName>
    <definedName name="SCDPT1_52BEGIN_18" localSheetId="0">'GMIC_2020-Annu_SCDPT1'!$V$1053</definedName>
    <definedName name="SCDPT1_52BEGIN_19" localSheetId="0">'GMIC_2020-Annu_SCDPT1'!$W$1053</definedName>
    <definedName name="SCDPT1_52BEGIN_2" localSheetId="0">'GMIC_2020-Annu_SCDPT1'!$D$1053</definedName>
    <definedName name="SCDPT1_52BEGIN_20" localSheetId="0">'GMIC_2020-Annu_SCDPT1'!$X$1053</definedName>
    <definedName name="SCDPT1_52BEGIN_21" localSheetId="0">'GMIC_2020-Annu_SCDPT1'!$Y$1053</definedName>
    <definedName name="SCDPT1_52BEGIN_22" localSheetId="0">'GMIC_2020-Annu_SCDPT1'!$Z$1053</definedName>
    <definedName name="SCDPT1_52BEGIN_23" localSheetId="0">'GMIC_2020-Annu_SCDPT1'!$AA$1053</definedName>
    <definedName name="SCDPT1_52BEGIN_24" localSheetId="0">'GMIC_2020-Annu_SCDPT1'!$AB$1053</definedName>
    <definedName name="SCDPT1_52BEGIN_25" localSheetId="0">'GMIC_2020-Annu_SCDPT1'!$AC$1053</definedName>
    <definedName name="SCDPT1_52BEGIN_26" localSheetId="0">'GMIC_2020-Annu_SCDPT1'!$AD$1053</definedName>
    <definedName name="SCDPT1_52BEGIN_27" localSheetId="0">'GMIC_2020-Annu_SCDPT1'!$AE$1053</definedName>
    <definedName name="SCDPT1_52BEGIN_28" localSheetId="0">'GMIC_2020-Annu_SCDPT1'!$AF$1053</definedName>
    <definedName name="SCDPT1_52BEGIN_29" localSheetId="0">'GMIC_2020-Annu_SCDPT1'!$AG$1053</definedName>
    <definedName name="SCDPT1_52BEGIN_3" localSheetId="0">'GMIC_2020-Annu_SCDPT1'!$E$1053</definedName>
    <definedName name="SCDPT1_52BEGIN_30" localSheetId="0">'GMIC_2020-Annu_SCDPT1'!$AH$1053</definedName>
    <definedName name="SCDPT1_52BEGIN_31" localSheetId="0">'GMIC_2020-Annu_SCDPT1'!$AI$1053</definedName>
    <definedName name="SCDPT1_52BEGIN_32" localSheetId="0">'GMIC_2020-Annu_SCDPT1'!$AJ$1053</definedName>
    <definedName name="SCDPT1_52BEGIN_33" localSheetId="0">'GMIC_2020-Annu_SCDPT1'!$AK$1053</definedName>
    <definedName name="SCDPT1_52BEGIN_34" localSheetId="0">'GMIC_2020-Annu_SCDPT1'!$AL$1053</definedName>
    <definedName name="SCDPT1_52BEGIN_35" localSheetId="0">'GMIC_2020-Annu_SCDPT1'!$AM$1053</definedName>
    <definedName name="SCDPT1_52BEGIN_4" localSheetId="0">'GMIC_2020-Annu_SCDPT1'!$F$1053</definedName>
    <definedName name="SCDPT1_52BEGIN_5" localSheetId="0">'GMIC_2020-Annu_SCDPT1'!$G$1053</definedName>
    <definedName name="SCDPT1_52BEGIN_6.01" localSheetId="0">'GMIC_2020-Annu_SCDPT1'!$H$1053</definedName>
    <definedName name="SCDPT1_52BEGIN_6.02" localSheetId="0">'GMIC_2020-Annu_SCDPT1'!$I$1053</definedName>
    <definedName name="SCDPT1_52BEGIN_6.03" localSheetId="0">'GMIC_2020-Annu_SCDPT1'!$J$1053</definedName>
    <definedName name="SCDPT1_52BEGIN_7" localSheetId="0">'GMIC_2020-Annu_SCDPT1'!$K$1053</definedName>
    <definedName name="SCDPT1_52BEGIN_8" localSheetId="0">'GMIC_2020-Annu_SCDPT1'!$L$1053</definedName>
    <definedName name="SCDPT1_52BEGIN_9" localSheetId="0">'GMIC_2020-Annu_SCDPT1'!$M$1053</definedName>
    <definedName name="SCDPT1_52ENDIN_10" localSheetId="0">'GMIC_2020-Annu_SCDPT1'!$N$1055</definedName>
    <definedName name="SCDPT1_52ENDIN_11" localSheetId="0">'GMIC_2020-Annu_SCDPT1'!$O$1055</definedName>
    <definedName name="SCDPT1_52ENDIN_12" localSheetId="0">'GMIC_2020-Annu_SCDPT1'!$P$1055</definedName>
    <definedName name="SCDPT1_52ENDIN_13" localSheetId="0">'GMIC_2020-Annu_SCDPT1'!$Q$1055</definedName>
    <definedName name="SCDPT1_52ENDIN_14" localSheetId="0">'GMIC_2020-Annu_SCDPT1'!$R$1055</definedName>
    <definedName name="SCDPT1_52ENDIN_15" localSheetId="0">'GMIC_2020-Annu_SCDPT1'!$S$1055</definedName>
    <definedName name="SCDPT1_52ENDIN_16" localSheetId="0">'GMIC_2020-Annu_SCDPT1'!$T$1055</definedName>
    <definedName name="SCDPT1_52ENDIN_17" localSheetId="0">'GMIC_2020-Annu_SCDPT1'!$U$1055</definedName>
    <definedName name="SCDPT1_52ENDIN_18" localSheetId="0">'GMIC_2020-Annu_SCDPT1'!$V$1055</definedName>
    <definedName name="SCDPT1_52ENDIN_19" localSheetId="0">'GMIC_2020-Annu_SCDPT1'!$W$1055</definedName>
    <definedName name="SCDPT1_52ENDIN_2" localSheetId="0">'GMIC_2020-Annu_SCDPT1'!$D$1055</definedName>
    <definedName name="SCDPT1_52ENDIN_20" localSheetId="0">'GMIC_2020-Annu_SCDPT1'!$X$1055</definedName>
    <definedName name="SCDPT1_52ENDIN_21" localSheetId="0">'GMIC_2020-Annu_SCDPT1'!$Y$1055</definedName>
    <definedName name="SCDPT1_52ENDIN_22" localSheetId="0">'GMIC_2020-Annu_SCDPT1'!$Z$1055</definedName>
    <definedName name="SCDPT1_52ENDIN_23" localSheetId="0">'GMIC_2020-Annu_SCDPT1'!$AA$1055</definedName>
    <definedName name="SCDPT1_52ENDIN_24" localSheetId="0">'GMIC_2020-Annu_SCDPT1'!$AB$1055</definedName>
    <definedName name="SCDPT1_52ENDIN_25" localSheetId="0">'GMIC_2020-Annu_SCDPT1'!$AC$1055</definedName>
    <definedName name="SCDPT1_52ENDIN_26" localSheetId="0">'GMIC_2020-Annu_SCDPT1'!$AD$1055</definedName>
    <definedName name="SCDPT1_52ENDIN_27" localSheetId="0">'GMIC_2020-Annu_SCDPT1'!$AE$1055</definedName>
    <definedName name="SCDPT1_52ENDIN_28" localSheetId="0">'GMIC_2020-Annu_SCDPT1'!$AF$1055</definedName>
    <definedName name="SCDPT1_52ENDIN_29" localSheetId="0">'GMIC_2020-Annu_SCDPT1'!$AG$1055</definedName>
    <definedName name="SCDPT1_52ENDIN_3" localSheetId="0">'GMIC_2020-Annu_SCDPT1'!$E$1055</definedName>
    <definedName name="SCDPT1_52ENDIN_30" localSheetId="0">'GMIC_2020-Annu_SCDPT1'!$AH$1055</definedName>
    <definedName name="SCDPT1_52ENDIN_31" localSheetId="0">'GMIC_2020-Annu_SCDPT1'!$AI$1055</definedName>
    <definedName name="SCDPT1_52ENDIN_32" localSheetId="0">'GMIC_2020-Annu_SCDPT1'!$AJ$1055</definedName>
    <definedName name="SCDPT1_52ENDIN_33" localSheetId="0">'GMIC_2020-Annu_SCDPT1'!$AK$1055</definedName>
    <definedName name="SCDPT1_52ENDIN_34" localSheetId="0">'GMIC_2020-Annu_SCDPT1'!$AL$1055</definedName>
    <definedName name="SCDPT1_52ENDIN_35" localSheetId="0">'GMIC_2020-Annu_SCDPT1'!$AM$1055</definedName>
    <definedName name="SCDPT1_52ENDIN_4" localSheetId="0">'GMIC_2020-Annu_SCDPT1'!$F$1055</definedName>
    <definedName name="SCDPT1_52ENDIN_5" localSheetId="0">'GMIC_2020-Annu_SCDPT1'!$G$1055</definedName>
    <definedName name="SCDPT1_52ENDIN_6.01" localSheetId="0">'GMIC_2020-Annu_SCDPT1'!$H$1055</definedName>
    <definedName name="SCDPT1_52ENDIN_6.02" localSheetId="0">'GMIC_2020-Annu_SCDPT1'!$I$1055</definedName>
    <definedName name="SCDPT1_52ENDIN_6.03" localSheetId="0">'GMIC_2020-Annu_SCDPT1'!$J$1055</definedName>
    <definedName name="SCDPT1_52ENDIN_7" localSheetId="0">'GMIC_2020-Annu_SCDPT1'!$K$1055</definedName>
    <definedName name="SCDPT1_52ENDIN_8" localSheetId="0">'GMIC_2020-Annu_SCDPT1'!$L$1055</definedName>
    <definedName name="SCDPT1_52ENDIN_9" localSheetId="0">'GMIC_2020-Annu_SCDPT1'!$M$1055</definedName>
    <definedName name="SCDPT1_5300000_Range" localSheetId="0">'GMIC_2020-Annu_SCDPT1'!$B$1057:$AM$1059</definedName>
    <definedName name="SCDPT1_5399999_10" localSheetId="0">'GMIC_2020-Annu_SCDPT1'!$N$1060</definedName>
    <definedName name="SCDPT1_5399999_11" localSheetId="0">'GMIC_2020-Annu_SCDPT1'!$O$1060</definedName>
    <definedName name="SCDPT1_5399999_12" localSheetId="0">'GMIC_2020-Annu_SCDPT1'!$P$1060</definedName>
    <definedName name="SCDPT1_5399999_13" localSheetId="0">'GMIC_2020-Annu_SCDPT1'!$Q$1060</definedName>
    <definedName name="SCDPT1_5399999_14" localSheetId="0">'GMIC_2020-Annu_SCDPT1'!$R$1060</definedName>
    <definedName name="SCDPT1_5399999_15" localSheetId="0">'GMIC_2020-Annu_SCDPT1'!$S$1060</definedName>
    <definedName name="SCDPT1_5399999_19" localSheetId="0">'GMIC_2020-Annu_SCDPT1'!$W$1060</definedName>
    <definedName name="SCDPT1_5399999_20" localSheetId="0">'GMIC_2020-Annu_SCDPT1'!$X$1060</definedName>
    <definedName name="SCDPT1_5399999_7" localSheetId="0">'GMIC_2020-Annu_SCDPT1'!$K$1060</definedName>
    <definedName name="SCDPT1_5399999_9" localSheetId="0">'GMIC_2020-Annu_SCDPT1'!$M$1060</definedName>
    <definedName name="SCDPT1_53BEGIN_1" localSheetId="0">'GMIC_2020-Annu_SCDPT1'!$C$1057</definedName>
    <definedName name="SCDPT1_53BEGIN_10" localSheetId="0">'GMIC_2020-Annu_SCDPT1'!$N$1057</definedName>
    <definedName name="SCDPT1_53BEGIN_11" localSheetId="0">'GMIC_2020-Annu_SCDPT1'!$O$1057</definedName>
    <definedName name="SCDPT1_53BEGIN_12" localSheetId="0">'GMIC_2020-Annu_SCDPT1'!$P$1057</definedName>
    <definedName name="SCDPT1_53BEGIN_13" localSheetId="0">'GMIC_2020-Annu_SCDPT1'!$Q$1057</definedName>
    <definedName name="SCDPT1_53BEGIN_14" localSheetId="0">'GMIC_2020-Annu_SCDPT1'!$R$1057</definedName>
    <definedName name="SCDPT1_53BEGIN_15" localSheetId="0">'GMIC_2020-Annu_SCDPT1'!$S$1057</definedName>
    <definedName name="SCDPT1_53BEGIN_16" localSheetId="0">'GMIC_2020-Annu_SCDPT1'!$T$1057</definedName>
    <definedName name="SCDPT1_53BEGIN_17" localSheetId="0">'GMIC_2020-Annu_SCDPT1'!$U$1057</definedName>
    <definedName name="SCDPT1_53BEGIN_18" localSheetId="0">'GMIC_2020-Annu_SCDPT1'!$V$1057</definedName>
    <definedName name="SCDPT1_53BEGIN_19" localSheetId="0">'GMIC_2020-Annu_SCDPT1'!$W$1057</definedName>
    <definedName name="SCDPT1_53BEGIN_2" localSheetId="0">'GMIC_2020-Annu_SCDPT1'!$D$1057</definedName>
    <definedName name="SCDPT1_53BEGIN_20" localSheetId="0">'GMIC_2020-Annu_SCDPT1'!$X$1057</definedName>
    <definedName name="SCDPT1_53BEGIN_21" localSheetId="0">'GMIC_2020-Annu_SCDPT1'!$Y$1057</definedName>
    <definedName name="SCDPT1_53BEGIN_22" localSheetId="0">'GMIC_2020-Annu_SCDPT1'!$Z$1057</definedName>
    <definedName name="SCDPT1_53BEGIN_23" localSheetId="0">'GMIC_2020-Annu_SCDPT1'!$AA$1057</definedName>
    <definedName name="SCDPT1_53BEGIN_24" localSheetId="0">'GMIC_2020-Annu_SCDPT1'!$AB$1057</definedName>
    <definedName name="SCDPT1_53BEGIN_25" localSheetId="0">'GMIC_2020-Annu_SCDPT1'!$AC$1057</definedName>
    <definedName name="SCDPT1_53BEGIN_26" localSheetId="0">'GMIC_2020-Annu_SCDPT1'!$AD$1057</definedName>
    <definedName name="SCDPT1_53BEGIN_27" localSheetId="0">'GMIC_2020-Annu_SCDPT1'!$AE$1057</definedName>
    <definedName name="SCDPT1_53BEGIN_28" localSheetId="0">'GMIC_2020-Annu_SCDPT1'!$AF$1057</definedName>
    <definedName name="SCDPT1_53BEGIN_29" localSheetId="0">'GMIC_2020-Annu_SCDPT1'!$AG$1057</definedName>
    <definedName name="SCDPT1_53BEGIN_3" localSheetId="0">'GMIC_2020-Annu_SCDPT1'!$E$1057</definedName>
    <definedName name="SCDPT1_53BEGIN_30" localSheetId="0">'GMIC_2020-Annu_SCDPT1'!$AH$1057</definedName>
    <definedName name="SCDPT1_53BEGIN_31" localSheetId="0">'GMIC_2020-Annu_SCDPT1'!$AI$1057</definedName>
    <definedName name="SCDPT1_53BEGIN_32" localSheetId="0">'GMIC_2020-Annu_SCDPT1'!$AJ$1057</definedName>
    <definedName name="SCDPT1_53BEGIN_33" localSheetId="0">'GMIC_2020-Annu_SCDPT1'!$AK$1057</definedName>
    <definedName name="SCDPT1_53BEGIN_34" localSheetId="0">'GMIC_2020-Annu_SCDPT1'!$AL$1057</definedName>
    <definedName name="SCDPT1_53BEGIN_35" localSheetId="0">'GMIC_2020-Annu_SCDPT1'!$AM$1057</definedName>
    <definedName name="SCDPT1_53BEGIN_4" localSheetId="0">'GMIC_2020-Annu_SCDPT1'!$F$1057</definedName>
    <definedName name="SCDPT1_53BEGIN_5" localSheetId="0">'GMIC_2020-Annu_SCDPT1'!$G$1057</definedName>
    <definedName name="SCDPT1_53BEGIN_6.01" localSheetId="0">'GMIC_2020-Annu_SCDPT1'!$H$1057</definedName>
    <definedName name="SCDPT1_53BEGIN_6.02" localSheetId="0">'GMIC_2020-Annu_SCDPT1'!$I$1057</definedName>
    <definedName name="SCDPT1_53BEGIN_6.03" localSheetId="0">'GMIC_2020-Annu_SCDPT1'!$J$1057</definedName>
    <definedName name="SCDPT1_53BEGIN_7" localSheetId="0">'GMIC_2020-Annu_SCDPT1'!$K$1057</definedName>
    <definedName name="SCDPT1_53BEGIN_8" localSheetId="0">'GMIC_2020-Annu_SCDPT1'!$L$1057</definedName>
    <definedName name="SCDPT1_53BEGIN_9" localSheetId="0">'GMIC_2020-Annu_SCDPT1'!$M$1057</definedName>
    <definedName name="SCDPT1_53ENDIN_10" localSheetId="0">'GMIC_2020-Annu_SCDPT1'!$N$1059</definedName>
    <definedName name="SCDPT1_53ENDIN_11" localSheetId="0">'GMIC_2020-Annu_SCDPT1'!$O$1059</definedName>
    <definedName name="SCDPT1_53ENDIN_12" localSheetId="0">'GMIC_2020-Annu_SCDPT1'!$P$1059</definedName>
    <definedName name="SCDPT1_53ENDIN_13" localSheetId="0">'GMIC_2020-Annu_SCDPT1'!$Q$1059</definedName>
    <definedName name="SCDPT1_53ENDIN_14" localSheetId="0">'GMIC_2020-Annu_SCDPT1'!$R$1059</definedName>
    <definedName name="SCDPT1_53ENDIN_15" localSheetId="0">'GMIC_2020-Annu_SCDPT1'!$S$1059</definedName>
    <definedName name="SCDPT1_53ENDIN_16" localSheetId="0">'GMIC_2020-Annu_SCDPT1'!$T$1059</definedName>
    <definedName name="SCDPT1_53ENDIN_17" localSheetId="0">'GMIC_2020-Annu_SCDPT1'!$U$1059</definedName>
    <definedName name="SCDPT1_53ENDIN_18" localSheetId="0">'GMIC_2020-Annu_SCDPT1'!$V$1059</definedName>
    <definedName name="SCDPT1_53ENDIN_19" localSheetId="0">'GMIC_2020-Annu_SCDPT1'!$W$1059</definedName>
    <definedName name="SCDPT1_53ENDIN_2" localSheetId="0">'GMIC_2020-Annu_SCDPT1'!$D$1059</definedName>
    <definedName name="SCDPT1_53ENDIN_20" localSheetId="0">'GMIC_2020-Annu_SCDPT1'!$X$1059</definedName>
    <definedName name="SCDPT1_53ENDIN_21" localSheetId="0">'GMIC_2020-Annu_SCDPT1'!$Y$1059</definedName>
    <definedName name="SCDPT1_53ENDIN_22" localSheetId="0">'GMIC_2020-Annu_SCDPT1'!$Z$1059</definedName>
    <definedName name="SCDPT1_53ENDIN_23" localSheetId="0">'GMIC_2020-Annu_SCDPT1'!$AA$1059</definedName>
    <definedName name="SCDPT1_53ENDIN_24" localSheetId="0">'GMIC_2020-Annu_SCDPT1'!$AB$1059</definedName>
    <definedName name="SCDPT1_53ENDIN_25" localSheetId="0">'GMIC_2020-Annu_SCDPT1'!$AC$1059</definedName>
    <definedName name="SCDPT1_53ENDIN_26" localSheetId="0">'GMIC_2020-Annu_SCDPT1'!$AD$1059</definedName>
    <definedName name="SCDPT1_53ENDIN_27" localSheetId="0">'GMIC_2020-Annu_SCDPT1'!$AE$1059</definedName>
    <definedName name="SCDPT1_53ENDIN_28" localSheetId="0">'GMIC_2020-Annu_SCDPT1'!$AF$1059</definedName>
    <definedName name="SCDPT1_53ENDIN_29" localSheetId="0">'GMIC_2020-Annu_SCDPT1'!$AG$1059</definedName>
    <definedName name="SCDPT1_53ENDIN_3" localSheetId="0">'GMIC_2020-Annu_SCDPT1'!$E$1059</definedName>
    <definedName name="SCDPT1_53ENDIN_30" localSheetId="0">'GMIC_2020-Annu_SCDPT1'!$AH$1059</definedName>
    <definedName name="SCDPT1_53ENDIN_31" localSheetId="0">'GMIC_2020-Annu_SCDPT1'!$AI$1059</definedName>
    <definedName name="SCDPT1_53ENDIN_32" localSheetId="0">'GMIC_2020-Annu_SCDPT1'!$AJ$1059</definedName>
    <definedName name="SCDPT1_53ENDIN_33" localSheetId="0">'GMIC_2020-Annu_SCDPT1'!$AK$1059</definedName>
    <definedName name="SCDPT1_53ENDIN_34" localSheetId="0">'GMIC_2020-Annu_SCDPT1'!$AL$1059</definedName>
    <definedName name="SCDPT1_53ENDIN_35" localSheetId="0">'GMIC_2020-Annu_SCDPT1'!$AM$1059</definedName>
    <definedName name="SCDPT1_53ENDIN_4" localSheetId="0">'GMIC_2020-Annu_SCDPT1'!$F$1059</definedName>
    <definedName name="SCDPT1_53ENDIN_5" localSheetId="0">'GMIC_2020-Annu_SCDPT1'!$G$1059</definedName>
    <definedName name="SCDPT1_53ENDIN_6.01" localSheetId="0">'GMIC_2020-Annu_SCDPT1'!$H$1059</definedName>
    <definedName name="SCDPT1_53ENDIN_6.02" localSheetId="0">'GMIC_2020-Annu_SCDPT1'!$I$1059</definedName>
    <definedName name="SCDPT1_53ENDIN_6.03" localSheetId="0">'GMIC_2020-Annu_SCDPT1'!$J$1059</definedName>
    <definedName name="SCDPT1_53ENDIN_7" localSheetId="0">'GMIC_2020-Annu_SCDPT1'!$K$1059</definedName>
    <definedName name="SCDPT1_53ENDIN_8" localSheetId="0">'GMIC_2020-Annu_SCDPT1'!$L$1059</definedName>
    <definedName name="SCDPT1_53ENDIN_9" localSheetId="0">'GMIC_2020-Annu_SCDPT1'!$M$1059</definedName>
    <definedName name="SCDPT1_5400000_Range" localSheetId="0">'GMIC_2020-Annu_SCDPT1'!$B$1061:$AM$1063</definedName>
    <definedName name="SCDPT1_5499999_10" localSheetId="0">'GMIC_2020-Annu_SCDPT1'!$N$1064</definedName>
    <definedName name="SCDPT1_5499999_11" localSheetId="0">'GMIC_2020-Annu_SCDPT1'!$O$1064</definedName>
    <definedName name="SCDPT1_5499999_12" localSheetId="0">'GMIC_2020-Annu_SCDPT1'!$P$1064</definedName>
    <definedName name="SCDPT1_5499999_13" localSheetId="0">'GMIC_2020-Annu_SCDPT1'!$Q$1064</definedName>
    <definedName name="SCDPT1_5499999_14" localSheetId="0">'GMIC_2020-Annu_SCDPT1'!$R$1064</definedName>
    <definedName name="SCDPT1_5499999_15" localSheetId="0">'GMIC_2020-Annu_SCDPT1'!$S$1064</definedName>
    <definedName name="SCDPT1_5499999_19" localSheetId="0">'GMIC_2020-Annu_SCDPT1'!$W$1064</definedName>
    <definedName name="SCDPT1_5499999_20" localSheetId="0">'GMIC_2020-Annu_SCDPT1'!$X$1064</definedName>
    <definedName name="SCDPT1_5499999_7" localSheetId="0">'GMIC_2020-Annu_SCDPT1'!$K$1064</definedName>
    <definedName name="SCDPT1_5499999_9" localSheetId="0">'GMIC_2020-Annu_SCDPT1'!$M$1064</definedName>
    <definedName name="SCDPT1_54BEGIN_1" localSheetId="0">'GMIC_2020-Annu_SCDPT1'!$C$1061</definedName>
    <definedName name="SCDPT1_54BEGIN_10" localSheetId="0">'GMIC_2020-Annu_SCDPT1'!$N$1061</definedName>
    <definedName name="SCDPT1_54BEGIN_11" localSheetId="0">'GMIC_2020-Annu_SCDPT1'!$O$1061</definedName>
    <definedName name="SCDPT1_54BEGIN_12" localSheetId="0">'GMIC_2020-Annu_SCDPT1'!$P$1061</definedName>
    <definedName name="SCDPT1_54BEGIN_13" localSheetId="0">'GMIC_2020-Annu_SCDPT1'!$Q$1061</definedName>
    <definedName name="SCDPT1_54BEGIN_14" localSheetId="0">'GMIC_2020-Annu_SCDPT1'!$R$1061</definedName>
    <definedName name="SCDPT1_54BEGIN_15" localSheetId="0">'GMIC_2020-Annu_SCDPT1'!$S$1061</definedName>
    <definedName name="SCDPT1_54BEGIN_16" localSheetId="0">'GMIC_2020-Annu_SCDPT1'!$T$1061</definedName>
    <definedName name="SCDPT1_54BEGIN_17" localSheetId="0">'GMIC_2020-Annu_SCDPT1'!$U$1061</definedName>
    <definedName name="SCDPT1_54BEGIN_18" localSheetId="0">'GMIC_2020-Annu_SCDPT1'!$V$1061</definedName>
    <definedName name="SCDPT1_54BEGIN_19" localSheetId="0">'GMIC_2020-Annu_SCDPT1'!$W$1061</definedName>
    <definedName name="SCDPT1_54BEGIN_2" localSheetId="0">'GMIC_2020-Annu_SCDPT1'!$D$1061</definedName>
    <definedName name="SCDPT1_54BEGIN_20" localSheetId="0">'GMIC_2020-Annu_SCDPT1'!$X$1061</definedName>
    <definedName name="SCDPT1_54BEGIN_21" localSheetId="0">'GMIC_2020-Annu_SCDPT1'!$Y$1061</definedName>
    <definedName name="SCDPT1_54BEGIN_22" localSheetId="0">'GMIC_2020-Annu_SCDPT1'!$Z$1061</definedName>
    <definedName name="SCDPT1_54BEGIN_23" localSheetId="0">'GMIC_2020-Annu_SCDPT1'!$AA$1061</definedName>
    <definedName name="SCDPT1_54BEGIN_24" localSheetId="0">'GMIC_2020-Annu_SCDPT1'!$AB$1061</definedName>
    <definedName name="SCDPT1_54BEGIN_25" localSheetId="0">'GMIC_2020-Annu_SCDPT1'!$AC$1061</definedName>
    <definedName name="SCDPT1_54BEGIN_26" localSheetId="0">'GMIC_2020-Annu_SCDPT1'!$AD$1061</definedName>
    <definedName name="SCDPT1_54BEGIN_27" localSheetId="0">'GMIC_2020-Annu_SCDPT1'!$AE$1061</definedName>
    <definedName name="SCDPT1_54BEGIN_28" localSheetId="0">'GMIC_2020-Annu_SCDPT1'!$AF$1061</definedName>
    <definedName name="SCDPT1_54BEGIN_29" localSheetId="0">'GMIC_2020-Annu_SCDPT1'!$AG$1061</definedName>
    <definedName name="SCDPT1_54BEGIN_3" localSheetId="0">'GMIC_2020-Annu_SCDPT1'!$E$1061</definedName>
    <definedName name="SCDPT1_54BEGIN_30" localSheetId="0">'GMIC_2020-Annu_SCDPT1'!$AH$1061</definedName>
    <definedName name="SCDPT1_54BEGIN_31" localSheetId="0">'GMIC_2020-Annu_SCDPT1'!$AI$1061</definedName>
    <definedName name="SCDPT1_54BEGIN_32" localSheetId="0">'GMIC_2020-Annu_SCDPT1'!$AJ$1061</definedName>
    <definedName name="SCDPT1_54BEGIN_33" localSheetId="0">'GMIC_2020-Annu_SCDPT1'!$AK$1061</definedName>
    <definedName name="SCDPT1_54BEGIN_34" localSheetId="0">'GMIC_2020-Annu_SCDPT1'!$AL$1061</definedName>
    <definedName name="SCDPT1_54BEGIN_35" localSheetId="0">'GMIC_2020-Annu_SCDPT1'!$AM$1061</definedName>
    <definedName name="SCDPT1_54BEGIN_4" localSheetId="0">'GMIC_2020-Annu_SCDPT1'!$F$1061</definedName>
    <definedName name="SCDPT1_54BEGIN_5" localSheetId="0">'GMIC_2020-Annu_SCDPT1'!$G$1061</definedName>
    <definedName name="SCDPT1_54BEGIN_6.01" localSheetId="0">'GMIC_2020-Annu_SCDPT1'!$H$1061</definedName>
    <definedName name="SCDPT1_54BEGIN_6.02" localSheetId="0">'GMIC_2020-Annu_SCDPT1'!$I$1061</definedName>
    <definedName name="SCDPT1_54BEGIN_6.03" localSheetId="0">'GMIC_2020-Annu_SCDPT1'!$J$1061</definedName>
    <definedName name="SCDPT1_54BEGIN_7" localSheetId="0">'GMIC_2020-Annu_SCDPT1'!$K$1061</definedName>
    <definedName name="SCDPT1_54BEGIN_8" localSheetId="0">'GMIC_2020-Annu_SCDPT1'!$L$1061</definedName>
    <definedName name="SCDPT1_54BEGIN_9" localSheetId="0">'GMIC_2020-Annu_SCDPT1'!$M$1061</definedName>
    <definedName name="SCDPT1_54ENDIN_10" localSheetId="0">'GMIC_2020-Annu_SCDPT1'!$N$1063</definedName>
    <definedName name="SCDPT1_54ENDIN_11" localSheetId="0">'GMIC_2020-Annu_SCDPT1'!$O$1063</definedName>
    <definedName name="SCDPT1_54ENDIN_12" localSheetId="0">'GMIC_2020-Annu_SCDPT1'!$P$1063</definedName>
    <definedName name="SCDPT1_54ENDIN_13" localSheetId="0">'GMIC_2020-Annu_SCDPT1'!$Q$1063</definedName>
    <definedName name="SCDPT1_54ENDIN_14" localSheetId="0">'GMIC_2020-Annu_SCDPT1'!$R$1063</definedName>
    <definedName name="SCDPT1_54ENDIN_15" localSheetId="0">'GMIC_2020-Annu_SCDPT1'!$S$1063</definedName>
    <definedName name="SCDPT1_54ENDIN_16" localSheetId="0">'GMIC_2020-Annu_SCDPT1'!$T$1063</definedName>
    <definedName name="SCDPT1_54ENDIN_17" localSheetId="0">'GMIC_2020-Annu_SCDPT1'!$U$1063</definedName>
    <definedName name="SCDPT1_54ENDIN_18" localSheetId="0">'GMIC_2020-Annu_SCDPT1'!$V$1063</definedName>
    <definedName name="SCDPT1_54ENDIN_19" localSheetId="0">'GMIC_2020-Annu_SCDPT1'!$W$1063</definedName>
    <definedName name="SCDPT1_54ENDIN_2" localSheetId="0">'GMIC_2020-Annu_SCDPT1'!$D$1063</definedName>
    <definedName name="SCDPT1_54ENDIN_20" localSheetId="0">'GMIC_2020-Annu_SCDPT1'!$X$1063</definedName>
    <definedName name="SCDPT1_54ENDIN_21" localSheetId="0">'GMIC_2020-Annu_SCDPT1'!$Y$1063</definedName>
    <definedName name="SCDPT1_54ENDIN_22" localSheetId="0">'GMIC_2020-Annu_SCDPT1'!$Z$1063</definedName>
    <definedName name="SCDPT1_54ENDIN_23" localSheetId="0">'GMIC_2020-Annu_SCDPT1'!$AA$1063</definedName>
    <definedName name="SCDPT1_54ENDIN_24" localSheetId="0">'GMIC_2020-Annu_SCDPT1'!$AB$1063</definedName>
    <definedName name="SCDPT1_54ENDIN_25" localSheetId="0">'GMIC_2020-Annu_SCDPT1'!$AC$1063</definedName>
    <definedName name="SCDPT1_54ENDIN_26" localSheetId="0">'GMIC_2020-Annu_SCDPT1'!$AD$1063</definedName>
    <definedName name="SCDPT1_54ENDIN_27" localSheetId="0">'GMIC_2020-Annu_SCDPT1'!$AE$1063</definedName>
    <definedName name="SCDPT1_54ENDIN_28" localSheetId="0">'GMIC_2020-Annu_SCDPT1'!$AF$1063</definedName>
    <definedName name="SCDPT1_54ENDIN_29" localSheetId="0">'GMIC_2020-Annu_SCDPT1'!$AG$1063</definedName>
    <definedName name="SCDPT1_54ENDIN_3" localSheetId="0">'GMIC_2020-Annu_SCDPT1'!$E$1063</definedName>
    <definedName name="SCDPT1_54ENDIN_30" localSheetId="0">'GMIC_2020-Annu_SCDPT1'!$AH$1063</definedName>
    <definedName name="SCDPT1_54ENDIN_31" localSheetId="0">'GMIC_2020-Annu_SCDPT1'!$AI$1063</definedName>
    <definedName name="SCDPT1_54ENDIN_32" localSheetId="0">'GMIC_2020-Annu_SCDPT1'!$AJ$1063</definedName>
    <definedName name="SCDPT1_54ENDIN_33" localSheetId="0">'GMIC_2020-Annu_SCDPT1'!$AK$1063</definedName>
    <definedName name="SCDPT1_54ENDIN_34" localSheetId="0">'GMIC_2020-Annu_SCDPT1'!$AL$1063</definedName>
    <definedName name="SCDPT1_54ENDIN_35" localSheetId="0">'GMIC_2020-Annu_SCDPT1'!$AM$1063</definedName>
    <definedName name="SCDPT1_54ENDIN_4" localSheetId="0">'GMIC_2020-Annu_SCDPT1'!$F$1063</definedName>
    <definedName name="SCDPT1_54ENDIN_5" localSheetId="0">'GMIC_2020-Annu_SCDPT1'!$G$1063</definedName>
    <definedName name="SCDPT1_54ENDIN_6.01" localSheetId="0">'GMIC_2020-Annu_SCDPT1'!$H$1063</definedName>
    <definedName name="SCDPT1_54ENDIN_6.02" localSheetId="0">'GMIC_2020-Annu_SCDPT1'!$I$1063</definedName>
    <definedName name="SCDPT1_54ENDIN_6.03" localSheetId="0">'GMIC_2020-Annu_SCDPT1'!$J$1063</definedName>
    <definedName name="SCDPT1_54ENDIN_7" localSheetId="0">'GMIC_2020-Annu_SCDPT1'!$K$1063</definedName>
    <definedName name="SCDPT1_54ENDIN_8" localSheetId="0">'GMIC_2020-Annu_SCDPT1'!$L$1063</definedName>
    <definedName name="SCDPT1_54ENDIN_9" localSheetId="0">'GMIC_2020-Annu_SCDPT1'!$M$1063</definedName>
    <definedName name="SCDPT1_5599999_10" localSheetId="0">'GMIC_2020-Annu_SCDPT1'!$N$1065</definedName>
    <definedName name="SCDPT1_5599999_11" localSheetId="0">'GMIC_2020-Annu_SCDPT1'!$O$1065</definedName>
    <definedName name="SCDPT1_5599999_12" localSheetId="0">'GMIC_2020-Annu_SCDPT1'!$P$1065</definedName>
    <definedName name="SCDPT1_5599999_13" localSheetId="0">'GMIC_2020-Annu_SCDPT1'!$Q$1065</definedName>
    <definedName name="SCDPT1_5599999_14" localSheetId="0">'GMIC_2020-Annu_SCDPT1'!$R$1065</definedName>
    <definedName name="SCDPT1_5599999_15" localSheetId="0">'GMIC_2020-Annu_SCDPT1'!$S$1065</definedName>
    <definedName name="SCDPT1_5599999_19" localSheetId="0">'GMIC_2020-Annu_SCDPT1'!$W$1065</definedName>
    <definedName name="SCDPT1_5599999_20" localSheetId="0">'GMIC_2020-Annu_SCDPT1'!$X$1065</definedName>
    <definedName name="SCDPT1_5599999_7" localSheetId="0">'GMIC_2020-Annu_SCDPT1'!$K$1065</definedName>
    <definedName name="SCDPT1_5599999_9" localSheetId="0">'GMIC_2020-Annu_SCDPT1'!$M$1065</definedName>
    <definedName name="SCDPT1_5800000_Range" localSheetId="0">'GMIC_2020-Annu_SCDPT1'!$B$1066:$AM$1068</definedName>
    <definedName name="SCDPT1_5899999_10" localSheetId="0">'GMIC_2020-Annu_SCDPT1'!$N$1069</definedName>
    <definedName name="SCDPT1_5899999_11" localSheetId="0">'GMIC_2020-Annu_SCDPT1'!$O$1069</definedName>
    <definedName name="SCDPT1_5899999_12" localSheetId="0">'GMIC_2020-Annu_SCDPT1'!$P$1069</definedName>
    <definedName name="SCDPT1_5899999_13" localSheetId="0">'GMIC_2020-Annu_SCDPT1'!$Q$1069</definedName>
    <definedName name="SCDPT1_5899999_14" localSheetId="0">'GMIC_2020-Annu_SCDPT1'!$R$1069</definedName>
    <definedName name="SCDPT1_5899999_15" localSheetId="0">'GMIC_2020-Annu_SCDPT1'!$S$1069</definedName>
    <definedName name="SCDPT1_5899999_19" localSheetId="0">'GMIC_2020-Annu_SCDPT1'!$W$1069</definedName>
    <definedName name="SCDPT1_5899999_20" localSheetId="0">'GMIC_2020-Annu_SCDPT1'!$X$1069</definedName>
    <definedName name="SCDPT1_5899999_7" localSheetId="0">'GMIC_2020-Annu_SCDPT1'!$K$1069</definedName>
    <definedName name="SCDPT1_5899999_9" localSheetId="0">'GMIC_2020-Annu_SCDPT1'!$M$1069</definedName>
    <definedName name="SCDPT1_58BEGIN_1" localSheetId="0">'GMIC_2020-Annu_SCDPT1'!$C$1066</definedName>
    <definedName name="SCDPT1_58BEGIN_10" localSheetId="0">'GMIC_2020-Annu_SCDPT1'!$N$1066</definedName>
    <definedName name="SCDPT1_58BEGIN_11" localSheetId="0">'GMIC_2020-Annu_SCDPT1'!$O$1066</definedName>
    <definedName name="SCDPT1_58BEGIN_12" localSheetId="0">'GMIC_2020-Annu_SCDPT1'!$P$1066</definedName>
    <definedName name="SCDPT1_58BEGIN_13" localSheetId="0">'GMIC_2020-Annu_SCDPT1'!$Q$1066</definedName>
    <definedName name="SCDPT1_58BEGIN_14" localSheetId="0">'GMIC_2020-Annu_SCDPT1'!$R$1066</definedName>
    <definedName name="SCDPT1_58BEGIN_15" localSheetId="0">'GMIC_2020-Annu_SCDPT1'!$S$1066</definedName>
    <definedName name="SCDPT1_58BEGIN_16" localSheetId="0">'GMIC_2020-Annu_SCDPT1'!$T$1066</definedName>
    <definedName name="SCDPT1_58BEGIN_17" localSheetId="0">'GMIC_2020-Annu_SCDPT1'!$U$1066</definedName>
    <definedName name="SCDPT1_58BEGIN_18" localSheetId="0">'GMIC_2020-Annu_SCDPT1'!$V$1066</definedName>
    <definedName name="SCDPT1_58BEGIN_19" localSheetId="0">'GMIC_2020-Annu_SCDPT1'!$W$1066</definedName>
    <definedName name="SCDPT1_58BEGIN_2" localSheetId="0">'GMIC_2020-Annu_SCDPT1'!$D$1066</definedName>
    <definedName name="SCDPT1_58BEGIN_20" localSheetId="0">'GMIC_2020-Annu_SCDPT1'!$X$1066</definedName>
    <definedName name="SCDPT1_58BEGIN_21" localSheetId="0">'GMIC_2020-Annu_SCDPT1'!$Y$1066</definedName>
    <definedName name="SCDPT1_58BEGIN_22" localSheetId="0">'GMIC_2020-Annu_SCDPT1'!$Z$1066</definedName>
    <definedName name="SCDPT1_58BEGIN_23" localSheetId="0">'GMIC_2020-Annu_SCDPT1'!$AA$1066</definedName>
    <definedName name="SCDPT1_58BEGIN_24" localSheetId="0">'GMIC_2020-Annu_SCDPT1'!$AB$1066</definedName>
    <definedName name="SCDPT1_58BEGIN_25" localSheetId="0">'GMIC_2020-Annu_SCDPT1'!$AC$1066</definedName>
    <definedName name="SCDPT1_58BEGIN_26" localSheetId="0">'GMIC_2020-Annu_SCDPT1'!$AD$1066</definedName>
    <definedName name="SCDPT1_58BEGIN_27" localSheetId="0">'GMIC_2020-Annu_SCDPT1'!$AE$1066</definedName>
    <definedName name="SCDPT1_58BEGIN_28" localSheetId="0">'GMIC_2020-Annu_SCDPT1'!$AF$1066</definedName>
    <definedName name="SCDPT1_58BEGIN_29" localSheetId="0">'GMIC_2020-Annu_SCDPT1'!$AG$1066</definedName>
    <definedName name="SCDPT1_58BEGIN_3" localSheetId="0">'GMIC_2020-Annu_SCDPT1'!$E$1066</definedName>
    <definedName name="SCDPT1_58BEGIN_30" localSheetId="0">'GMIC_2020-Annu_SCDPT1'!$AH$1066</definedName>
    <definedName name="SCDPT1_58BEGIN_31" localSheetId="0">'GMIC_2020-Annu_SCDPT1'!$AI$1066</definedName>
    <definedName name="SCDPT1_58BEGIN_32" localSheetId="0">'GMIC_2020-Annu_SCDPT1'!$AJ$1066</definedName>
    <definedName name="SCDPT1_58BEGIN_33" localSheetId="0">'GMIC_2020-Annu_SCDPT1'!$AK$1066</definedName>
    <definedName name="SCDPT1_58BEGIN_34" localSheetId="0">'GMIC_2020-Annu_SCDPT1'!$AL$1066</definedName>
    <definedName name="SCDPT1_58BEGIN_35" localSheetId="0">'GMIC_2020-Annu_SCDPT1'!$AM$1066</definedName>
    <definedName name="SCDPT1_58BEGIN_4" localSheetId="0">'GMIC_2020-Annu_SCDPT1'!$F$1066</definedName>
    <definedName name="SCDPT1_58BEGIN_5" localSheetId="0">'GMIC_2020-Annu_SCDPT1'!$G$1066</definedName>
    <definedName name="SCDPT1_58BEGIN_6.01" localSheetId="0">'GMIC_2020-Annu_SCDPT1'!$H$1066</definedName>
    <definedName name="SCDPT1_58BEGIN_6.02" localSheetId="0">'GMIC_2020-Annu_SCDPT1'!$I$1066</definedName>
    <definedName name="SCDPT1_58BEGIN_6.03" localSheetId="0">'GMIC_2020-Annu_SCDPT1'!$J$1066</definedName>
    <definedName name="SCDPT1_58BEGIN_7" localSheetId="0">'GMIC_2020-Annu_SCDPT1'!$K$1066</definedName>
    <definedName name="SCDPT1_58BEGIN_8" localSheetId="0">'GMIC_2020-Annu_SCDPT1'!$L$1066</definedName>
    <definedName name="SCDPT1_58BEGIN_9" localSheetId="0">'GMIC_2020-Annu_SCDPT1'!$M$1066</definedName>
    <definedName name="SCDPT1_58ENDIN_10" localSheetId="0">'GMIC_2020-Annu_SCDPT1'!$N$1068</definedName>
    <definedName name="SCDPT1_58ENDIN_11" localSheetId="0">'GMIC_2020-Annu_SCDPT1'!$O$1068</definedName>
    <definedName name="SCDPT1_58ENDIN_12" localSheetId="0">'GMIC_2020-Annu_SCDPT1'!$P$1068</definedName>
    <definedName name="SCDPT1_58ENDIN_13" localSheetId="0">'GMIC_2020-Annu_SCDPT1'!$Q$1068</definedName>
    <definedName name="SCDPT1_58ENDIN_14" localSheetId="0">'GMIC_2020-Annu_SCDPT1'!$R$1068</definedName>
    <definedName name="SCDPT1_58ENDIN_15" localSheetId="0">'GMIC_2020-Annu_SCDPT1'!$S$1068</definedName>
    <definedName name="SCDPT1_58ENDIN_16" localSheetId="0">'GMIC_2020-Annu_SCDPT1'!$T$1068</definedName>
    <definedName name="SCDPT1_58ENDIN_17" localSheetId="0">'GMIC_2020-Annu_SCDPT1'!$U$1068</definedName>
    <definedName name="SCDPT1_58ENDIN_18" localSheetId="0">'GMIC_2020-Annu_SCDPT1'!$V$1068</definedName>
    <definedName name="SCDPT1_58ENDIN_19" localSheetId="0">'GMIC_2020-Annu_SCDPT1'!$W$1068</definedName>
    <definedName name="SCDPT1_58ENDIN_2" localSheetId="0">'GMIC_2020-Annu_SCDPT1'!$D$1068</definedName>
    <definedName name="SCDPT1_58ENDIN_20" localSheetId="0">'GMIC_2020-Annu_SCDPT1'!$X$1068</definedName>
    <definedName name="SCDPT1_58ENDIN_21" localSheetId="0">'GMIC_2020-Annu_SCDPT1'!$Y$1068</definedName>
    <definedName name="SCDPT1_58ENDIN_22" localSheetId="0">'GMIC_2020-Annu_SCDPT1'!$Z$1068</definedName>
    <definedName name="SCDPT1_58ENDIN_23" localSheetId="0">'GMIC_2020-Annu_SCDPT1'!$AA$1068</definedName>
    <definedName name="SCDPT1_58ENDIN_24" localSheetId="0">'GMIC_2020-Annu_SCDPT1'!$AB$1068</definedName>
    <definedName name="SCDPT1_58ENDIN_25" localSheetId="0">'GMIC_2020-Annu_SCDPT1'!$AC$1068</definedName>
    <definedName name="SCDPT1_58ENDIN_26" localSheetId="0">'GMIC_2020-Annu_SCDPT1'!$AD$1068</definedName>
    <definedName name="SCDPT1_58ENDIN_27" localSheetId="0">'GMIC_2020-Annu_SCDPT1'!$AE$1068</definedName>
    <definedName name="SCDPT1_58ENDIN_28" localSheetId="0">'GMIC_2020-Annu_SCDPT1'!$AF$1068</definedName>
    <definedName name="SCDPT1_58ENDIN_29" localSheetId="0">'GMIC_2020-Annu_SCDPT1'!$AG$1068</definedName>
    <definedName name="SCDPT1_58ENDIN_3" localSheetId="0">'GMIC_2020-Annu_SCDPT1'!$E$1068</definedName>
    <definedName name="SCDPT1_58ENDIN_30" localSheetId="0">'GMIC_2020-Annu_SCDPT1'!$AH$1068</definedName>
    <definedName name="SCDPT1_58ENDIN_31" localSheetId="0">'GMIC_2020-Annu_SCDPT1'!$AI$1068</definedName>
    <definedName name="SCDPT1_58ENDIN_32" localSheetId="0">'GMIC_2020-Annu_SCDPT1'!$AJ$1068</definedName>
    <definedName name="SCDPT1_58ENDIN_33" localSheetId="0">'GMIC_2020-Annu_SCDPT1'!$AK$1068</definedName>
    <definedName name="SCDPT1_58ENDIN_34" localSheetId="0">'GMIC_2020-Annu_SCDPT1'!$AL$1068</definedName>
    <definedName name="SCDPT1_58ENDIN_35" localSheetId="0">'GMIC_2020-Annu_SCDPT1'!$AM$1068</definedName>
    <definedName name="SCDPT1_58ENDIN_4" localSheetId="0">'GMIC_2020-Annu_SCDPT1'!$F$1068</definedName>
    <definedName name="SCDPT1_58ENDIN_5" localSheetId="0">'GMIC_2020-Annu_SCDPT1'!$G$1068</definedName>
    <definedName name="SCDPT1_58ENDIN_6.01" localSheetId="0">'GMIC_2020-Annu_SCDPT1'!$H$1068</definedName>
    <definedName name="SCDPT1_58ENDIN_6.02" localSheetId="0">'GMIC_2020-Annu_SCDPT1'!$I$1068</definedName>
    <definedName name="SCDPT1_58ENDIN_6.03" localSheetId="0">'GMIC_2020-Annu_SCDPT1'!$J$1068</definedName>
    <definedName name="SCDPT1_58ENDIN_7" localSheetId="0">'GMIC_2020-Annu_SCDPT1'!$K$1068</definedName>
    <definedName name="SCDPT1_58ENDIN_8" localSheetId="0">'GMIC_2020-Annu_SCDPT1'!$L$1068</definedName>
    <definedName name="SCDPT1_58ENDIN_9" localSheetId="0">'GMIC_2020-Annu_SCDPT1'!$M$1068</definedName>
    <definedName name="SCDPT1_5900000_Range" localSheetId="0">'GMIC_2020-Annu_SCDPT1'!$B$1070:$AM$1072</definedName>
    <definedName name="SCDPT1_5999999_10" localSheetId="0">'GMIC_2020-Annu_SCDPT1'!$N$1073</definedName>
    <definedName name="SCDPT1_5999999_11" localSheetId="0">'GMIC_2020-Annu_SCDPT1'!$O$1073</definedName>
    <definedName name="SCDPT1_5999999_12" localSheetId="0">'GMIC_2020-Annu_SCDPT1'!$P$1073</definedName>
    <definedName name="SCDPT1_5999999_13" localSheetId="0">'GMIC_2020-Annu_SCDPT1'!$Q$1073</definedName>
    <definedName name="SCDPT1_5999999_14" localSheetId="0">'GMIC_2020-Annu_SCDPT1'!$R$1073</definedName>
    <definedName name="SCDPT1_5999999_15" localSheetId="0">'GMIC_2020-Annu_SCDPT1'!$S$1073</definedName>
    <definedName name="SCDPT1_5999999_19" localSheetId="0">'GMIC_2020-Annu_SCDPT1'!$W$1073</definedName>
    <definedName name="SCDPT1_5999999_20" localSheetId="0">'GMIC_2020-Annu_SCDPT1'!$X$1073</definedName>
    <definedName name="SCDPT1_5999999_7" localSheetId="0">'GMIC_2020-Annu_SCDPT1'!$K$1073</definedName>
    <definedName name="SCDPT1_5999999_9" localSheetId="0">'GMIC_2020-Annu_SCDPT1'!$M$1073</definedName>
    <definedName name="SCDPT1_59BEGIN_1" localSheetId="0">'GMIC_2020-Annu_SCDPT1'!$C$1070</definedName>
    <definedName name="SCDPT1_59BEGIN_10" localSheetId="0">'GMIC_2020-Annu_SCDPT1'!$N$1070</definedName>
    <definedName name="SCDPT1_59BEGIN_11" localSheetId="0">'GMIC_2020-Annu_SCDPT1'!$O$1070</definedName>
    <definedName name="SCDPT1_59BEGIN_12" localSheetId="0">'GMIC_2020-Annu_SCDPT1'!$P$1070</definedName>
    <definedName name="SCDPT1_59BEGIN_13" localSheetId="0">'GMIC_2020-Annu_SCDPT1'!$Q$1070</definedName>
    <definedName name="SCDPT1_59BEGIN_14" localSheetId="0">'GMIC_2020-Annu_SCDPT1'!$R$1070</definedName>
    <definedName name="SCDPT1_59BEGIN_15" localSheetId="0">'GMIC_2020-Annu_SCDPT1'!$S$1070</definedName>
    <definedName name="SCDPT1_59BEGIN_16" localSheetId="0">'GMIC_2020-Annu_SCDPT1'!$T$1070</definedName>
    <definedName name="SCDPT1_59BEGIN_17" localSheetId="0">'GMIC_2020-Annu_SCDPT1'!$U$1070</definedName>
    <definedName name="SCDPT1_59BEGIN_18" localSheetId="0">'GMIC_2020-Annu_SCDPT1'!$V$1070</definedName>
    <definedName name="SCDPT1_59BEGIN_19" localSheetId="0">'GMIC_2020-Annu_SCDPT1'!$W$1070</definedName>
    <definedName name="SCDPT1_59BEGIN_2" localSheetId="0">'GMIC_2020-Annu_SCDPT1'!$D$1070</definedName>
    <definedName name="SCDPT1_59BEGIN_20" localSheetId="0">'GMIC_2020-Annu_SCDPT1'!$X$1070</definedName>
    <definedName name="SCDPT1_59BEGIN_21" localSheetId="0">'GMIC_2020-Annu_SCDPT1'!$Y$1070</definedName>
    <definedName name="SCDPT1_59BEGIN_22" localSheetId="0">'GMIC_2020-Annu_SCDPT1'!$Z$1070</definedName>
    <definedName name="SCDPT1_59BEGIN_23" localSheetId="0">'GMIC_2020-Annu_SCDPT1'!$AA$1070</definedName>
    <definedName name="SCDPT1_59BEGIN_24" localSheetId="0">'GMIC_2020-Annu_SCDPT1'!$AB$1070</definedName>
    <definedName name="SCDPT1_59BEGIN_25" localSheetId="0">'GMIC_2020-Annu_SCDPT1'!$AC$1070</definedName>
    <definedName name="SCDPT1_59BEGIN_26" localSheetId="0">'GMIC_2020-Annu_SCDPT1'!$AD$1070</definedName>
    <definedName name="SCDPT1_59BEGIN_27" localSheetId="0">'GMIC_2020-Annu_SCDPT1'!$AE$1070</definedName>
    <definedName name="SCDPT1_59BEGIN_28" localSheetId="0">'GMIC_2020-Annu_SCDPT1'!$AF$1070</definedName>
    <definedName name="SCDPT1_59BEGIN_29" localSheetId="0">'GMIC_2020-Annu_SCDPT1'!$AG$1070</definedName>
    <definedName name="SCDPT1_59BEGIN_3" localSheetId="0">'GMIC_2020-Annu_SCDPT1'!$E$1070</definedName>
    <definedName name="SCDPT1_59BEGIN_30" localSheetId="0">'GMIC_2020-Annu_SCDPT1'!$AH$1070</definedName>
    <definedName name="SCDPT1_59BEGIN_31" localSheetId="0">'GMIC_2020-Annu_SCDPT1'!$AI$1070</definedName>
    <definedName name="SCDPT1_59BEGIN_32" localSheetId="0">'GMIC_2020-Annu_SCDPT1'!$AJ$1070</definedName>
    <definedName name="SCDPT1_59BEGIN_33" localSheetId="0">'GMIC_2020-Annu_SCDPT1'!$AK$1070</definedName>
    <definedName name="SCDPT1_59BEGIN_34" localSheetId="0">'GMIC_2020-Annu_SCDPT1'!$AL$1070</definedName>
    <definedName name="SCDPT1_59BEGIN_35" localSheetId="0">'GMIC_2020-Annu_SCDPT1'!$AM$1070</definedName>
    <definedName name="SCDPT1_59BEGIN_4" localSheetId="0">'GMIC_2020-Annu_SCDPT1'!$F$1070</definedName>
    <definedName name="SCDPT1_59BEGIN_5" localSheetId="0">'GMIC_2020-Annu_SCDPT1'!$G$1070</definedName>
    <definedName name="SCDPT1_59BEGIN_6.01" localSheetId="0">'GMIC_2020-Annu_SCDPT1'!$H$1070</definedName>
    <definedName name="SCDPT1_59BEGIN_6.02" localSheetId="0">'GMIC_2020-Annu_SCDPT1'!$I$1070</definedName>
    <definedName name="SCDPT1_59BEGIN_6.03" localSheetId="0">'GMIC_2020-Annu_SCDPT1'!$J$1070</definedName>
    <definedName name="SCDPT1_59BEGIN_7" localSheetId="0">'GMIC_2020-Annu_SCDPT1'!$K$1070</definedName>
    <definedName name="SCDPT1_59BEGIN_8" localSheetId="0">'GMIC_2020-Annu_SCDPT1'!$L$1070</definedName>
    <definedName name="SCDPT1_59BEGIN_9" localSheetId="0">'GMIC_2020-Annu_SCDPT1'!$M$1070</definedName>
    <definedName name="SCDPT1_59ENDIN_10" localSheetId="0">'GMIC_2020-Annu_SCDPT1'!$N$1072</definedName>
    <definedName name="SCDPT1_59ENDIN_11" localSheetId="0">'GMIC_2020-Annu_SCDPT1'!$O$1072</definedName>
    <definedName name="SCDPT1_59ENDIN_12" localSheetId="0">'GMIC_2020-Annu_SCDPT1'!$P$1072</definedName>
    <definedName name="SCDPT1_59ENDIN_13" localSheetId="0">'GMIC_2020-Annu_SCDPT1'!$Q$1072</definedName>
    <definedName name="SCDPT1_59ENDIN_14" localSheetId="0">'GMIC_2020-Annu_SCDPT1'!$R$1072</definedName>
    <definedName name="SCDPT1_59ENDIN_15" localSheetId="0">'GMIC_2020-Annu_SCDPT1'!$S$1072</definedName>
    <definedName name="SCDPT1_59ENDIN_16" localSheetId="0">'GMIC_2020-Annu_SCDPT1'!$T$1072</definedName>
    <definedName name="SCDPT1_59ENDIN_17" localSheetId="0">'GMIC_2020-Annu_SCDPT1'!$U$1072</definedName>
    <definedName name="SCDPT1_59ENDIN_18" localSheetId="0">'GMIC_2020-Annu_SCDPT1'!$V$1072</definedName>
    <definedName name="SCDPT1_59ENDIN_19" localSheetId="0">'GMIC_2020-Annu_SCDPT1'!$W$1072</definedName>
    <definedName name="SCDPT1_59ENDIN_2" localSheetId="0">'GMIC_2020-Annu_SCDPT1'!$D$1072</definedName>
    <definedName name="SCDPT1_59ENDIN_20" localSheetId="0">'GMIC_2020-Annu_SCDPT1'!$X$1072</definedName>
    <definedName name="SCDPT1_59ENDIN_21" localSheetId="0">'GMIC_2020-Annu_SCDPT1'!$Y$1072</definedName>
    <definedName name="SCDPT1_59ENDIN_22" localSheetId="0">'GMIC_2020-Annu_SCDPT1'!$Z$1072</definedName>
    <definedName name="SCDPT1_59ENDIN_23" localSheetId="0">'GMIC_2020-Annu_SCDPT1'!$AA$1072</definedName>
    <definedName name="SCDPT1_59ENDIN_24" localSheetId="0">'GMIC_2020-Annu_SCDPT1'!$AB$1072</definedName>
    <definedName name="SCDPT1_59ENDIN_25" localSheetId="0">'GMIC_2020-Annu_SCDPT1'!$AC$1072</definedName>
    <definedName name="SCDPT1_59ENDIN_26" localSheetId="0">'GMIC_2020-Annu_SCDPT1'!$AD$1072</definedName>
    <definedName name="SCDPT1_59ENDIN_27" localSheetId="0">'GMIC_2020-Annu_SCDPT1'!$AE$1072</definedName>
    <definedName name="SCDPT1_59ENDIN_28" localSheetId="0">'GMIC_2020-Annu_SCDPT1'!$AF$1072</definedName>
    <definedName name="SCDPT1_59ENDIN_29" localSheetId="0">'GMIC_2020-Annu_SCDPT1'!$AG$1072</definedName>
    <definedName name="SCDPT1_59ENDIN_3" localSheetId="0">'GMIC_2020-Annu_SCDPT1'!$E$1072</definedName>
    <definedName name="SCDPT1_59ENDIN_30" localSheetId="0">'GMIC_2020-Annu_SCDPT1'!$AH$1072</definedName>
    <definedName name="SCDPT1_59ENDIN_31" localSheetId="0">'GMIC_2020-Annu_SCDPT1'!$AI$1072</definedName>
    <definedName name="SCDPT1_59ENDIN_32" localSheetId="0">'GMIC_2020-Annu_SCDPT1'!$AJ$1072</definedName>
    <definedName name="SCDPT1_59ENDIN_33" localSheetId="0">'GMIC_2020-Annu_SCDPT1'!$AK$1072</definedName>
    <definedName name="SCDPT1_59ENDIN_34" localSheetId="0">'GMIC_2020-Annu_SCDPT1'!$AL$1072</definedName>
    <definedName name="SCDPT1_59ENDIN_35" localSheetId="0">'GMIC_2020-Annu_SCDPT1'!$AM$1072</definedName>
    <definedName name="SCDPT1_59ENDIN_4" localSheetId="0">'GMIC_2020-Annu_SCDPT1'!$F$1072</definedName>
    <definedName name="SCDPT1_59ENDIN_5" localSheetId="0">'GMIC_2020-Annu_SCDPT1'!$G$1072</definedName>
    <definedName name="SCDPT1_59ENDIN_6.01" localSheetId="0">'GMIC_2020-Annu_SCDPT1'!$H$1072</definedName>
    <definedName name="SCDPT1_59ENDIN_6.02" localSheetId="0">'GMIC_2020-Annu_SCDPT1'!$I$1072</definedName>
    <definedName name="SCDPT1_59ENDIN_6.03" localSheetId="0">'GMIC_2020-Annu_SCDPT1'!$J$1072</definedName>
    <definedName name="SCDPT1_59ENDIN_7" localSheetId="0">'GMIC_2020-Annu_SCDPT1'!$K$1072</definedName>
    <definedName name="SCDPT1_59ENDIN_8" localSheetId="0">'GMIC_2020-Annu_SCDPT1'!$L$1072</definedName>
    <definedName name="SCDPT1_59ENDIN_9" localSheetId="0">'GMIC_2020-Annu_SCDPT1'!$M$1072</definedName>
    <definedName name="SCDPT1_6099999_10" localSheetId="0">'GMIC_2020-Annu_SCDPT1'!$N$1074</definedName>
    <definedName name="SCDPT1_6099999_11" localSheetId="0">'GMIC_2020-Annu_SCDPT1'!$O$1074</definedName>
    <definedName name="SCDPT1_6099999_12" localSheetId="0">'GMIC_2020-Annu_SCDPT1'!$P$1074</definedName>
    <definedName name="SCDPT1_6099999_13" localSheetId="0">'GMIC_2020-Annu_SCDPT1'!$Q$1074</definedName>
    <definedName name="SCDPT1_6099999_14" localSheetId="0">'GMIC_2020-Annu_SCDPT1'!$R$1074</definedName>
    <definedName name="SCDPT1_6099999_15" localSheetId="0">'GMIC_2020-Annu_SCDPT1'!$S$1074</definedName>
    <definedName name="SCDPT1_6099999_19" localSheetId="0">'GMIC_2020-Annu_SCDPT1'!$W$1074</definedName>
    <definedName name="SCDPT1_6099999_20" localSheetId="0">'GMIC_2020-Annu_SCDPT1'!$X$1074</definedName>
    <definedName name="SCDPT1_6099999_7" localSheetId="0">'GMIC_2020-Annu_SCDPT1'!$K$1074</definedName>
    <definedName name="SCDPT1_6099999_9" localSheetId="0">'GMIC_2020-Annu_SCDPT1'!$M$1074</definedName>
    <definedName name="SCDPT1_6300000_Range" localSheetId="0">'GMIC_2020-Annu_SCDPT1'!$B$1075:$AM$1077</definedName>
    <definedName name="SCDPT1_6399999_10" localSheetId="0">'GMIC_2020-Annu_SCDPT1'!$N$1078</definedName>
    <definedName name="SCDPT1_6399999_11" localSheetId="0">'GMIC_2020-Annu_SCDPT1'!$O$1078</definedName>
    <definedName name="SCDPT1_6399999_12" localSheetId="0">'GMIC_2020-Annu_SCDPT1'!$P$1078</definedName>
    <definedName name="SCDPT1_6399999_13" localSheetId="0">'GMIC_2020-Annu_SCDPT1'!$Q$1078</definedName>
    <definedName name="SCDPT1_6399999_14" localSheetId="0">'GMIC_2020-Annu_SCDPT1'!$R$1078</definedName>
    <definedName name="SCDPT1_6399999_15" localSheetId="0">'GMIC_2020-Annu_SCDPT1'!$S$1078</definedName>
    <definedName name="SCDPT1_6399999_19" localSheetId="0">'GMIC_2020-Annu_SCDPT1'!$W$1078</definedName>
    <definedName name="SCDPT1_6399999_20" localSheetId="0">'GMIC_2020-Annu_SCDPT1'!$X$1078</definedName>
    <definedName name="SCDPT1_6399999_7" localSheetId="0">'GMIC_2020-Annu_SCDPT1'!$K$1078</definedName>
    <definedName name="SCDPT1_6399999_9" localSheetId="0">'GMIC_2020-Annu_SCDPT1'!$M$1078</definedName>
    <definedName name="SCDPT1_63BEGIN_1" localSheetId="0">'GMIC_2020-Annu_SCDPT1'!$C$1075</definedName>
    <definedName name="SCDPT1_63BEGIN_10" localSheetId="0">'GMIC_2020-Annu_SCDPT1'!$N$1075</definedName>
    <definedName name="SCDPT1_63BEGIN_11" localSheetId="0">'GMIC_2020-Annu_SCDPT1'!$O$1075</definedName>
    <definedName name="SCDPT1_63BEGIN_12" localSheetId="0">'GMIC_2020-Annu_SCDPT1'!$P$1075</definedName>
    <definedName name="SCDPT1_63BEGIN_13" localSheetId="0">'GMIC_2020-Annu_SCDPT1'!$Q$1075</definedName>
    <definedName name="SCDPT1_63BEGIN_14" localSheetId="0">'GMIC_2020-Annu_SCDPT1'!$R$1075</definedName>
    <definedName name="SCDPT1_63BEGIN_15" localSheetId="0">'GMIC_2020-Annu_SCDPT1'!$S$1075</definedName>
    <definedName name="SCDPT1_63BEGIN_16" localSheetId="0">'GMIC_2020-Annu_SCDPT1'!$T$1075</definedName>
    <definedName name="SCDPT1_63BEGIN_17" localSheetId="0">'GMIC_2020-Annu_SCDPT1'!$U$1075</definedName>
    <definedName name="SCDPT1_63BEGIN_18" localSheetId="0">'GMIC_2020-Annu_SCDPT1'!$V$1075</definedName>
    <definedName name="SCDPT1_63BEGIN_19" localSheetId="0">'GMIC_2020-Annu_SCDPT1'!$W$1075</definedName>
    <definedName name="SCDPT1_63BEGIN_2" localSheetId="0">'GMIC_2020-Annu_SCDPT1'!$D$1075</definedName>
    <definedName name="SCDPT1_63BEGIN_20" localSheetId="0">'GMIC_2020-Annu_SCDPT1'!$X$1075</definedName>
    <definedName name="SCDPT1_63BEGIN_21" localSheetId="0">'GMIC_2020-Annu_SCDPT1'!$Y$1075</definedName>
    <definedName name="SCDPT1_63BEGIN_22" localSheetId="0">'GMIC_2020-Annu_SCDPT1'!$Z$1075</definedName>
    <definedName name="SCDPT1_63BEGIN_23" localSheetId="0">'GMIC_2020-Annu_SCDPT1'!$AA$1075</definedName>
    <definedName name="SCDPT1_63BEGIN_24" localSheetId="0">'GMIC_2020-Annu_SCDPT1'!$AB$1075</definedName>
    <definedName name="SCDPT1_63BEGIN_25" localSheetId="0">'GMIC_2020-Annu_SCDPT1'!$AC$1075</definedName>
    <definedName name="SCDPT1_63BEGIN_26" localSheetId="0">'GMIC_2020-Annu_SCDPT1'!$AD$1075</definedName>
    <definedName name="SCDPT1_63BEGIN_27" localSheetId="0">'GMIC_2020-Annu_SCDPT1'!$AE$1075</definedName>
    <definedName name="SCDPT1_63BEGIN_28" localSheetId="0">'GMIC_2020-Annu_SCDPT1'!$AF$1075</definedName>
    <definedName name="SCDPT1_63BEGIN_29" localSheetId="0">'GMIC_2020-Annu_SCDPT1'!$AG$1075</definedName>
    <definedName name="SCDPT1_63BEGIN_3" localSheetId="0">'GMIC_2020-Annu_SCDPT1'!$E$1075</definedName>
    <definedName name="SCDPT1_63BEGIN_30" localSheetId="0">'GMIC_2020-Annu_SCDPT1'!$AH$1075</definedName>
    <definedName name="SCDPT1_63BEGIN_31" localSheetId="0">'GMIC_2020-Annu_SCDPT1'!$AI$1075</definedName>
    <definedName name="SCDPT1_63BEGIN_32" localSheetId="0">'GMIC_2020-Annu_SCDPT1'!$AJ$1075</definedName>
    <definedName name="SCDPT1_63BEGIN_33" localSheetId="0">'GMIC_2020-Annu_SCDPT1'!$AK$1075</definedName>
    <definedName name="SCDPT1_63BEGIN_34" localSheetId="0">'GMIC_2020-Annu_SCDPT1'!$AL$1075</definedName>
    <definedName name="SCDPT1_63BEGIN_35" localSheetId="0">'GMIC_2020-Annu_SCDPT1'!$AM$1075</definedName>
    <definedName name="SCDPT1_63BEGIN_4" localSheetId="0">'GMIC_2020-Annu_SCDPT1'!$F$1075</definedName>
    <definedName name="SCDPT1_63BEGIN_5" localSheetId="0">'GMIC_2020-Annu_SCDPT1'!$G$1075</definedName>
    <definedName name="SCDPT1_63BEGIN_6.01" localSheetId="0">'GMIC_2020-Annu_SCDPT1'!$H$1075</definedName>
    <definedName name="SCDPT1_63BEGIN_6.02" localSheetId="0">'GMIC_2020-Annu_SCDPT1'!$I$1075</definedName>
    <definedName name="SCDPT1_63BEGIN_6.03" localSheetId="0">'GMIC_2020-Annu_SCDPT1'!$J$1075</definedName>
    <definedName name="SCDPT1_63BEGIN_7" localSheetId="0">'GMIC_2020-Annu_SCDPT1'!$K$1075</definedName>
    <definedName name="SCDPT1_63BEGIN_8" localSheetId="0">'GMIC_2020-Annu_SCDPT1'!$L$1075</definedName>
    <definedName name="SCDPT1_63BEGIN_9" localSheetId="0">'GMIC_2020-Annu_SCDPT1'!$M$1075</definedName>
    <definedName name="SCDPT1_63ENDIN_10" localSheetId="0">'GMIC_2020-Annu_SCDPT1'!$N$1077</definedName>
    <definedName name="SCDPT1_63ENDIN_11" localSheetId="0">'GMIC_2020-Annu_SCDPT1'!$O$1077</definedName>
    <definedName name="SCDPT1_63ENDIN_12" localSheetId="0">'GMIC_2020-Annu_SCDPT1'!$P$1077</definedName>
    <definedName name="SCDPT1_63ENDIN_13" localSheetId="0">'GMIC_2020-Annu_SCDPT1'!$Q$1077</definedName>
    <definedName name="SCDPT1_63ENDIN_14" localSheetId="0">'GMIC_2020-Annu_SCDPT1'!$R$1077</definedName>
    <definedName name="SCDPT1_63ENDIN_15" localSheetId="0">'GMIC_2020-Annu_SCDPT1'!$S$1077</definedName>
    <definedName name="SCDPT1_63ENDIN_16" localSheetId="0">'GMIC_2020-Annu_SCDPT1'!$T$1077</definedName>
    <definedName name="SCDPT1_63ENDIN_17" localSheetId="0">'GMIC_2020-Annu_SCDPT1'!$U$1077</definedName>
    <definedName name="SCDPT1_63ENDIN_18" localSheetId="0">'GMIC_2020-Annu_SCDPT1'!$V$1077</definedName>
    <definedName name="SCDPT1_63ENDIN_19" localSheetId="0">'GMIC_2020-Annu_SCDPT1'!$W$1077</definedName>
    <definedName name="SCDPT1_63ENDIN_2" localSheetId="0">'GMIC_2020-Annu_SCDPT1'!$D$1077</definedName>
    <definedName name="SCDPT1_63ENDIN_20" localSheetId="0">'GMIC_2020-Annu_SCDPT1'!$X$1077</definedName>
    <definedName name="SCDPT1_63ENDIN_21" localSheetId="0">'GMIC_2020-Annu_SCDPT1'!$Y$1077</definedName>
    <definedName name="SCDPT1_63ENDIN_22" localSheetId="0">'GMIC_2020-Annu_SCDPT1'!$Z$1077</definedName>
    <definedName name="SCDPT1_63ENDIN_23" localSheetId="0">'GMIC_2020-Annu_SCDPT1'!$AA$1077</definedName>
    <definedName name="SCDPT1_63ENDIN_24" localSheetId="0">'GMIC_2020-Annu_SCDPT1'!$AB$1077</definedName>
    <definedName name="SCDPT1_63ENDIN_25" localSheetId="0">'GMIC_2020-Annu_SCDPT1'!$AC$1077</definedName>
    <definedName name="SCDPT1_63ENDIN_26" localSheetId="0">'GMIC_2020-Annu_SCDPT1'!$AD$1077</definedName>
    <definedName name="SCDPT1_63ENDIN_27" localSheetId="0">'GMIC_2020-Annu_SCDPT1'!$AE$1077</definedName>
    <definedName name="SCDPT1_63ENDIN_28" localSheetId="0">'GMIC_2020-Annu_SCDPT1'!$AF$1077</definedName>
    <definedName name="SCDPT1_63ENDIN_29" localSheetId="0">'GMIC_2020-Annu_SCDPT1'!$AG$1077</definedName>
    <definedName name="SCDPT1_63ENDIN_3" localSheetId="0">'GMIC_2020-Annu_SCDPT1'!$E$1077</definedName>
    <definedName name="SCDPT1_63ENDIN_30" localSheetId="0">'GMIC_2020-Annu_SCDPT1'!$AH$1077</definedName>
    <definedName name="SCDPT1_63ENDIN_31" localSheetId="0">'GMIC_2020-Annu_SCDPT1'!$AI$1077</definedName>
    <definedName name="SCDPT1_63ENDIN_32" localSheetId="0">'GMIC_2020-Annu_SCDPT1'!$AJ$1077</definedName>
    <definedName name="SCDPT1_63ENDIN_33" localSheetId="0">'GMIC_2020-Annu_SCDPT1'!$AK$1077</definedName>
    <definedName name="SCDPT1_63ENDIN_34" localSheetId="0">'GMIC_2020-Annu_SCDPT1'!$AL$1077</definedName>
    <definedName name="SCDPT1_63ENDIN_35" localSheetId="0">'GMIC_2020-Annu_SCDPT1'!$AM$1077</definedName>
    <definedName name="SCDPT1_63ENDIN_4" localSheetId="0">'GMIC_2020-Annu_SCDPT1'!$F$1077</definedName>
    <definedName name="SCDPT1_63ENDIN_5" localSheetId="0">'GMIC_2020-Annu_SCDPT1'!$G$1077</definedName>
    <definedName name="SCDPT1_63ENDIN_6.01" localSheetId="0">'GMIC_2020-Annu_SCDPT1'!$H$1077</definedName>
    <definedName name="SCDPT1_63ENDIN_6.02" localSheetId="0">'GMIC_2020-Annu_SCDPT1'!$I$1077</definedName>
    <definedName name="SCDPT1_63ENDIN_6.03" localSheetId="0">'GMIC_2020-Annu_SCDPT1'!$J$1077</definedName>
    <definedName name="SCDPT1_63ENDIN_7" localSheetId="0">'GMIC_2020-Annu_SCDPT1'!$K$1077</definedName>
    <definedName name="SCDPT1_63ENDIN_8" localSheetId="0">'GMIC_2020-Annu_SCDPT1'!$L$1077</definedName>
    <definedName name="SCDPT1_63ENDIN_9" localSheetId="0">'GMIC_2020-Annu_SCDPT1'!$M$1077</definedName>
    <definedName name="SCDPT1_6400000_Range" localSheetId="0">'GMIC_2020-Annu_SCDPT1'!$B$1079:$AM$1081</definedName>
    <definedName name="SCDPT1_6499999_10" localSheetId="0">'GMIC_2020-Annu_SCDPT1'!$N$1082</definedName>
    <definedName name="SCDPT1_6499999_11" localSheetId="0">'GMIC_2020-Annu_SCDPT1'!$O$1082</definedName>
    <definedName name="SCDPT1_6499999_12" localSheetId="0">'GMIC_2020-Annu_SCDPT1'!$P$1082</definedName>
    <definedName name="SCDPT1_6499999_13" localSheetId="0">'GMIC_2020-Annu_SCDPT1'!$Q$1082</definedName>
    <definedName name="SCDPT1_6499999_14" localSheetId="0">'GMIC_2020-Annu_SCDPT1'!$R$1082</definedName>
    <definedName name="SCDPT1_6499999_15" localSheetId="0">'GMIC_2020-Annu_SCDPT1'!$S$1082</definedName>
    <definedName name="SCDPT1_6499999_19" localSheetId="0">'GMIC_2020-Annu_SCDPT1'!$W$1082</definedName>
    <definedName name="SCDPT1_6499999_20" localSheetId="0">'GMIC_2020-Annu_SCDPT1'!$X$1082</definedName>
    <definedName name="SCDPT1_6499999_7" localSheetId="0">'GMIC_2020-Annu_SCDPT1'!$K$1082</definedName>
    <definedName name="SCDPT1_6499999_9" localSheetId="0">'GMIC_2020-Annu_SCDPT1'!$M$1082</definedName>
    <definedName name="SCDPT1_64BEGIN_1" localSheetId="0">'GMIC_2020-Annu_SCDPT1'!$C$1079</definedName>
    <definedName name="SCDPT1_64BEGIN_10" localSheetId="0">'GMIC_2020-Annu_SCDPT1'!$N$1079</definedName>
    <definedName name="SCDPT1_64BEGIN_11" localSheetId="0">'GMIC_2020-Annu_SCDPT1'!$O$1079</definedName>
    <definedName name="SCDPT1_64BEGIN_12" localSheetId="0">'GMIC_2020-Annu_SCDPT1'!$P$1079</definedName>
    <definedName name="SCDPT1_64BEGIN_13" localSheetId="0">'GMIC_2020-Annu_SCDPT1'!$Q$1079</definedName>
    <definedName name="SCDPT1_64BEGIN_14" localSheetId="0">'GMIC_2020-Annu_SCDPT1'!$R$1079</definedName>
    <definedName name="SCDPT1_64BEGIN_15" localSheetId="0">'GMIC_2020-Annu_SCDPT1'!$S$1079</definedName>
    <definedName name="SCDPT1_64BEGIN_16" localSheetId="0">'GMIC_2020-Annu_SCDPT1'!$T$1079</definedName>
    <definedName name="SCDPT1_64BEGIN_17" localSheetId="0">'GMIC_2020-Annu_SCDPT1'!$U$1079</definedName>
    <definedName name="SCDPT1_64BEGIN_18" localSheetId="0">'GMIC_2020-Annu_SCDPT1'!$V$1079</definedName>
    <definedName name="SCDPT1_64BEGIN_19" localSheetId="0">'GMIC_2020-Annu_SCDPT1'!$W$1079</definedName>
    <definedName name="SCDPT1_64BEGIN_2" localSheetId="0">'GMIC_2020-Annu_SCDPT1'!$D$1079</definedName>
    <definedName name="SCDPT1_64BEGIN_20" localSheetId="0">'GMIC_2020-Annu_SCDPT1'!$X$1079</definedName>
    <definedName name="SCDPT1_64BEGIN_21" localSheetId="0">'GMIC_2020-Annu_SCDPT1'!$Y$1079</definedName>
    <definedName name="SCDPT1_64BEGIN_22" localSheetId="0">'GMIC_2020-Annu_SCDPT1'!$Z$1079</definedName>
    <definedName name="SCDPT1_64BEGIN_23" localSheetId="0">'GMIC_2020-Annu_SCDPT1'!$AA$1079</definedName>
    <definedName name="SCDPT1_64BEGIN_24" localSheetId="0">'GMIC_2020-Annu_SCDPT1'!$AB$1079</definedName>
    <definedName name="SCDPT1_64BEGIN_25" localSheetId="0">'GMIC_2020-Annu_SCDPT1'!$AC$1079</definedName>
    <definedName name="SCDPT1_64BEGIN_26" localSheetId="0">'GMIC_2020-Annu_SCDPT1'!$AD$1079</definedName>
    <definedName name="SCDPT1_64BEGIN_27" localSheetId="0">'GMIC_2020-Annu_SCDPT1'!$AE$1079</definedName>
    <definedName name="SCDPT1_64BEGIN_28" localSheetId="0">'GMIC_2020-Annu_SCDPT1'!$AF$1079</definedName>
    <definedName name="SCDPT1_64BEGIN_29" localSheetId="0">'GMIC_2020-Annu_SCDPT1'!$AG$1079</definedName>
    <definedName name="SCDPT1_64BEGIN_3" localSheetId="0">'GMIC_2020-Annu_SCDPT1'!$E$1079</definedName>
    <definedName name="SCDPT1_64BEGIN_30" localSheetId="0">'GMIC_2020-Annu_SCDPT1'!$AH$1079</definedName>
    <definedName name="SCDPT1_64BEGIN_31" localSheetId="0">'GMIC_2020-Annu_SCDPT1'!$AI$1079</definedName>
    <definedName name="SCDPT1_64BEGIN_32" localSheetId="0">'GMIC_2020-Annu_SCDPT1'!$AJ$1079</definedName>
    <definedName name="SCDPT1_64BEGIN_33" localSheetId="0">'GMIC_2020-Annu_SCDPT1'!$AK$1079</definedName>
    <definedName name="SCDPT1_64BEGIN_34" localSheetId="0">'GMIC_2020-Annu_SCDPT1'!$AL$1079</definedName>
    <definedName name="SCDPT1_64BEGIN_35" localSheetId="0">'GMIC_2020-Annu_SCDPT1'!$AM$1079</definedName>
    <definedName name="SCDPT1_64BEGIN_4" localSheetId="0">'GMIC_2020-Annu_SCDPT1'!$F$1079</definedName>
    <definedName name="SCDPT1_64BEGIN_5" localSheetId="0">'GMIC_2020-Annu_SCDPT1'!$G$1079</definedName>
    <definedName name="SCDPT1_64BEGIN_6.01" localSheetId="0">'GMIC_2020-Annu_SCDPT1'!$H$1079</definedName>
    <definedName name="SCDPT1_64BEGIN_6.02" localSheetId="0">'GMIC_2020-Annu_SCDPT1'!$I$1079</definedName>
    <definedName name="SCDPT1_64BEGIN_6.03" localSheetId="0">'GMIC_2020-Annu_SCDPT1'!$J$1079</definedName>
    <definedName name="SCDPT1_64BEGIN_7" localSheetId="0">'GMIC_2020-Annu_SCDPT1'!$K$1079</definedName>
    <definedName name="SCDPT1_64BEGIN_8" localSheetId="0">'GMIC_2020-Annu_SCDPT1'!$L$1079</definedName>
    <definedName name="SCDPT1_64BEGIN_9" localSheetId="0">'GMIC_2020-Annu_SCDPT1'!$M$1079</definedName>
    <definedName name="SCDPT1_64ENDIN_10" localSheetId="0">'GMIC_2020-Annu_SCDPT1'!$N$1081</definedName>
    <definedName name="SCDPT1_64ENDIN_11" localSheetId="0">'GMIC_2020-Annu_SCDPT1'!$O$1081</definedName>
    <definedName name="SCDPT1_64ENDIN_12" localSheetId="0">'GMIC_2020-Annu_SCDPT1'!$P$1081</definedName>
    <definedName name="SCDPT1_64ENDIN_13" localSheetId="0">'GMIC_2020-Annu_SCDPT1'!$Q$1081</definedName>
    <definedName name="SCDPT1_64ENDIN_14" localSheetId="0">'GMIC_2020-Annu_SCDPT1'!$R$1081</definedName>
    <definedName name="SCDPT1_64ENDIN_15" localSheetId="0">'GMIC_2020-Annu_SCDPT1'!$S$1081</definedName>
    <definedName name="SCDPT1_64ENDIN_16" localSheetId="0">'GMIC_2020-Annu_SCDPT1'!$T$1081</definedName>
    <definedName name="SCDPT1_64ENDIN_17" localSheetId="0">'GMIC_2020-Annu_SCDPT1'!$U$1081</definedName>
    <definedName name="SCDPT1_64ENDIN_18" localSheetId="0">'GMIC_2020-Annu_SCDPT1'!$V$1081</definedName>
    <definedName name="SCDPT1_64ENDIN_19" localSheetId="0">'GMIC_2020-Annu_SCDPT1'!$W$1081</definedName>
    <definedName name="SCDPT1_64ENDIN_2" localSheetId="0">'GMIC_2020-Annu_SCDPT1'!$D$1081</definedName>
    <definedName name="SCDPT1_64ENDIN_20" localSheetId="0">'GMIC_2020-Annu_SCDPT1'!$X$1081</definedName>
    <definedName name="SCDPT1_64ENDIN_21" localSheetId="0">'GMIC_2020-Annu_SCDPT1'!$Y$1081</definedName>
    <definedName name="SCDPT1_64ENDIN_22" localSheetId="0">'GMIC_2020-Annu_SCDPT1'!$Z$1081</definedName>
    <definedName name="SCDPT1_64ENDIN_23" localSheetId="0">'GMIC_2020-Annu_SCDPT1'!$AA$1081</definedName>
    <definedName name="SCDPT1_64ENDIN_24" localSheetId="0">'GMIC_2020-Annu_SCDPT1'!$AB$1081</definedName>
    <definedName name="SCDPT1_64ENDIN_25" localSheetId="0">'GMIC_2020-Annu_SCDPT1'!$AC$1081</definedName>
    <definedName name="SCDPT1_64ENDIN_26" localSheetId="0">'GMIC_2020-Annu_SCDPT1'!$AD$1081</definedName>
    <definedName name="SCDPT1_64ENDIN_27" localSheetId="0">'GMIC_2020-Annu_SCDPT1'!$AE$1081</definedName>
    <definedName name="SCDPT1_64ENDIN_28" localSheetId="0">'GMIC_2020-Annu_SCDPT1'!$AF$1081</definedName>
    <definedName name="SCDPT1_64ENDIN_29" localSheetId="0">'GMIC_2020-Annu_SCDPT1'!$AG$1081</definedName>
    <definedName name="SCDPT1_64ENDIN_3" localSheetId="0">'GMIC_2020-Annu_SCDPT1'!$E$1081</definedName>
    <definedName name="SCDPT1_64ENDIN_30" localSheetId="0">'GMIC_2020-Annu_SCDPT1'!$AH$1081</definedName>
    <definedName name="SCDPT1_64ENDIN_31" localSheetId="0">'GMIC_2020-Annu_SCDPT1'!$AI$1081</definedName>
    <definedName name="SCDPT1_64ENDIN_32" localSheetId="0">'GMIC_2020-Annu_SCDPT1'!$AJ$1081</definedName>
    <definedName name="SCDPT1_64ENDIN_33" localSheetId="0">'GMIC_2020-Annu_SCDPT1'!$AK$1081</definedName>
    <definedName name="SCDPT1_64ENDIN_34" localSheetId="0">'GMIC_2020-Annu_SCDPT1'!$AL$1081</definedName>
    <definedName name="SCDPT1_64ENDIN_35" localSheetId="0">'GMIC_2020-Annu_SCDPT1'!$AM$1081</definedName>
    <definedName name="SCDPT1_64ENDIN_4" localSheetId="0">'GMIC_2020-Annu_SCDPT1'!$F$1081</definedName>
    <definedName name="SCDPT1_64ENDIN_5" localSheetId="0">'GMIC_2020-Annu_SCDPT1'!$G$1081</definedName>
    <definedName name="SCDPT1_64ENDIN_6.01" localSheetId="0">'GMIC_2020-Annu_SCDPT1'!$H$1081</definedName>
    <definedName name="SCDPT1_64ENDIN_6.02" localSheetId="0">'GMIC_2020-Annu_SCDPT1'!$I$1081</definedName>
    <definedName name="SCDPT1_64ENDIN_6.03" localSheetId="0">'GMIC_2020-Annu_SCDPT1'!$J$1081</definedName>
    <definedName name="SCDPT1_64ENDIN_7" localSheetId="0">'GMIC_2020-Annu_SCDPT1'!$K$1081</definedName>
    <definedName name="SCDPT1_64ENDIN_8" localSheetId="0">'GMIC_2020-Annu_SCDPT1'!$L$1081</definedName>
    <definedName name="SCDPT1_64ENDIN_9" localSheetId="0">'GMIC_2020-Annu_SCDPT1'!$M$1081</definedName>
    <definedName name="SCDPT1_6599999_10" localSheetId="0">'GMIC_2020-Annu_SCDPT1'!$N$1083</definedName>
    <definedName name="SCDPT1_6599999_11" localSheetId="0">'GMIC_2020-Annu_SCDPT1'!$O$1083</definedName>
    <definedName name="SCDPT1_6599999_12" localSheetId="0">'GMIC_2020-Annu_SCDPT1'!$P$1083</definedName>
    <definedName name="SCDPT1_6599999_13" localSheetId="0">'GMIC_2020-Annu_SCDPT1'!$Q$1083</definedName>
    <definedName name="SCDPT1_6599999_14" localSheetId="0">'GMIC_2020-Annu_SCDPT1'!$R$1083</definedName>
    <definedName name="SCDPT1_6599999_15" localSheetId="0">'GMIC_2020-Annu_SCDPT1'!$S$1083</definedName>
    <definedName name="SCDPT1_6599999_19" localSheetId="0">'GMIC_2020-Annu_SCDPT1'!$W$1083</definedName>
    <definedName name="SCDPT1_6599999_20" localSheetId="0">'GMIC_2020-Annu_SCDPT1'!$X$1083</definedName>
    <definedName name="SCDPT1_6599999_7" localSheetId="0">'GMIC_2020-Annu_SCDPT1'!$K$1083</definedName>
    <definedName name="SCDPT1_6599999_9" localSheetId="0">'GMIC_2020-Annu_SCDPT1'!$M$1083</definedName>
    <definedName name="SCDPT1_7699999_10" localSheetId="0">'GMIC_2020-Annu_SCDPT1'!$N$1084</definedName>
    <definedName name="SCDPT1_7699999_11" localSheetId="0">'GMIC_2020-Annu_SCDPT1'!$O$1084</definedName>
    <definedName name="SCDPT1_7699999_12" localSheetId="0">'GMIC_2020-Annu_SCDPT1'!$P$1084</definedName>
    <definedName name="SCDPT1_7699999_13" localSheetId="0">'GMIC_2020-Annu_SCDPT1'!$Q$1084</definedName>
    <definedName name="SCDPT1_7699999_14" localSheetId="0">'GMIC_2020-Annu_SCDPT1'!$R$1084</definedName>
    <definedName name="SCDPT1_7699999_15" localSheetId="0">'GMIC_2020-Annu_SCDPT1'!$S$1084</definedName>
    <definedName name="SCDPT1_7699999_19" localSheetId="0">'GMIC_2020-Annu_SCDPT1'!$W$1084</definedName>
    <definedName name="SCDPT1_7699999_20" localSheetId="0">'GMIC_2020-Annu_SCDPT1'!$X$1084</definedName>
    <definedName name="SCDPT1_7699999_7" localSheetId="0">'GMIC_2020-Annu_SCDPT1'!$K$1084</definedName>
    <definedName name="SCDPT1_7699999_9" localSheetId="0">'GMIC_2020-Annu_SCDPT1'!$M$1084</definedName>
    <definedName name="SCDPT1_7799999_10" localSheetId="0">'GMIC_2020-Annu_SCDPT1'!$N$1085</definedName>
    <definedName name="SCDPT1_7799999_11" localSheetId="0">'GMIC_2020-Annu_SCDPT1'!$O$1085</definedName>
    <definedName name="SCDPT1_7799999_12" localSheetId="0">'GMIC_2020-Annu_SCDPT1'!$P$1085</definedName>
    <definedName name="SCDPT1_7799999_13" localSheetId="0">'GMIC_2020-Annu_SCDPT1'!$Q$1085</definedName>
    <definedName name="SCDPT1_7799999_14" localSheetId="0">'GMIC_2020-Annu_SCDPT1'!$R$1085</definedName>
    <definedName name="SCDPT1_7799999_15" localSheetId="0">'GMIC_2020-Annu_SCDPT1'!$S$1085</definedName>
    <definedName name="SCDPT1_7799999_19" localSheetId="0">'GMIC_2020-Annu_SCDPT1'!$W$1085</definedName>
    <definedName name="SCDPT1_7799999_20" localSheetId="0">'GMIC_2020-Annu_SCDPT1'!$X$1085</definedName>
    <definedName name="SCDPT1_7799999_7" localSheetId="0">'GMIC_2020-Annu_SCDPT1'!$K$1085</definedName>
    <definedName name="SCDPT1_7799999_9" localSheetId="0">'GMIC_2020-Annu_SCDPT1'!$M$1085</definedName>
    <definedName name="SCDPT1_7899999_10" localSheetId="0">'GMIC_2020-Annu_SCDPT1'!$N$1086</definedName>
    <definedName name="SCDPT1_7899999_11" localSheetId="0">'GMIC_2020-Annu_SCDPT1'!$O$1086</definedName>
    <definedName name="SCDPT1_7899999_12" localSheetId="0">'GMIC_2020-Annu_SCDPT1'!$P$1086</definedName>
    <definedName name="SCDPT1_7899999_13" localSheetId="0">'GMIC_2020-Annu_SCDPT1'!$Q$1086</definedName>
    <definedName name="SCDPT1_7899999_14" localSheetId="0">'GMIC_2020-Annu_SCDPT1'!$R$1086</definedName>
    <definedName name="SCDPT1_7899999_15" localSheetId="0">'GMIC_2020-Annu_SCDPT1'!$S$1086</definedName>
    <definedName name="SCDPT1_7899999_19" localSheetId="0">'GMIC_2020-Annu_SCDPT1'!$W$1086</definedName>
    <definedName name="SCDPT1_7899999_20" localSheetId="0">'GMIC_2020-Annu_SCDPT1'!$X$1086</definedName>
    <definedName name="SCDPT1_7899999_7" localSheetId="0">'GMIC_2020-Annu_SCDPT1'!$K$1086</definedName>
    <definedName name="SCDPT1_7899999_9" localSheetId="0">'GMIC_2020-Annu_SCDPT1'!$M$1086</definedName>
    <definedName name="SCDPT1_7999999_10" localSheetId="0">'GMIC_2020-Annu_SCDPT1'!$N$1087</definedName>
    <definedName name="SCDPT1_7999999_11" localSheetId="0">'GMIC_2020-Annu_SCDPT1'!$O$1087</definedName>
    <definedName name="SCDPT1_7999999_12" localSheetId="0">'GMIC_2020-Annu_SCDPT1'!$P$1087</definedName>
    <definedName name="SCDPT1_7999999_13" localSheetId="0">'GMIC_2020-Annu_SCDPT1'!$Q$1087</definedName>
    <definedName name="SCDPT1_7999999_14" localSheetId="0">'GMIC_2020-Annu_SCDPT1'!$R$1087</definedName>
    <definedName name="SCDPT1_7999999_15" localSheetId="0">'GMIC_2020-Annu_SCDPT1'!$S$1087</definedName>
    <definedName name="SCDPT1_7999999_19" localSheetId="0">'GMIC_2020-Annu_SCDPT1'!$W$1087</definedName>
    <definedName name="SCDPT1_7999999_20" localSheetId="0">'GMIC_2020-Annu_SCDPT1'!$X$1087</definedName>
    <definedName name="SCDPT1_7999999_7" localSheetId="0">'GMIC_2020-Annu_SCDPT1'!$K$1087</definedName>
    <definedName name="SCDPT1_7999999_9" localSheetId="0">'GMIC_2020-Annu_SCDPT1'!$M$1087</definedName>
    <definedName name="SCDPT1_8099999_10" localSheetId="0">'GMIC_2020-Annu_SCDPT1'!$N$1088</definedName>
    <definedName name="SCDPT1_8099999_11" localSheetId="0">'GMIC_2020-Annu_SCDPT1'!$O$1088</definedName>
    <definedName name="SCDPT1_8099999_12" localSheetId="0">'GMIC_2020-Annu_SCDPT1'!$P$1088</definedName>
    <definedName name="SCDPT1_8099999_13" localSheetId="0">'GMIC_2020-Annu_SCDPT1'!$Q$1088</definedName>
    <definedName name="SCDPT1_8099999_14" localSheetId="0">'GMIC_2020-Annu_SCDPT1'!$R$1088</definedName>
    <definedName name="SCDPT1_8099999_15" localSheetId="0">'GMIC_2020-Annu_SCDPT1'!$S$1088</definedName>
    <definedName name="SCDPT1_8099999_19" localSheetId="0">'GMIC_2020-Annu_SCDPT1'!$W$1088</definedName>
    <definedName name="SCDPT1_8099999_20" localSheetId="0">'GMIC_2020-Annu_SCDPT1'!$X$1088</definedName>
    <definedName name="SCDPT1_8099999_7" localSheetId="0">'GMIC_2020-Annu_SCDPT1'!$K$1088</definedName>
    <definedName name="SCDPT1_8099999_9" localSheetId="0">'GMIC_2020-Annu_SCDPT1'!$M$1088</definedName>
    <definedName name="SCDPT1_8199999_10" localSheetId="0">'GMIC_2020-Annu_SCDPT1'!$N$1089</definedName>
    <definedName name="SCDPT1_8199999_11" localSheetId="0">'GMIC_2020-Annu_SCDPT1'!$O$1089</definedName>
    <definedName name="SCDPT1_8199999_12" localSheetId="0">'GMIC_2020-Annu_SCDPT1'!$P$1089</definedName>
    <definedName name="SCDPT1_8199999_13" localSheetId="0">'GMIC_2020-Annu_SCDPT1'!$Q$1089</definedName>
    <definedName name="SCDPT1_8199999_14" localSheetId="0">'GMIC_2020-Annu_SCDPT1'!$R$1089</definedName>
    <definedName name="SCDPT1_8199999_15" localSheetId="0">'GMIC_2020-Annu_SCDPT1'!$S$1089</definedName>
    <definedName name="SCDPT1_8199999_19" localSheetId="0">'GMIC_2020-Annu_SCDPT1'!$W$1089</definedName>
    <definedName name="SCDPT1_8199999_20" localSheetId="0">'GMIC_2020-Annu_SCDPT1'!$X$1089</definedName>
    <definedName name="SCDPT1_8199999_7" localSheetId="0">'GMIC_2020-Annu_SCDPT1'!$K$1089</definedName>
    <definedName name="SCDPT1_8199999_9" localSheetId="0">'GMIC_2020-Annu_SCDPT1'!$M$1089</definedName>
    <definedName name="SCDPT1_8299999_10" localSheetId="0">'GMIC_2020-Annu_SCDPT1'!$N$1090</definedName>
    <definedName name="SCDPT1_8299999_11" localSheetId="0">'GMIC_2020-Annu_SCDPT1'!$O$1090</definedName>
    <definedName name="SCDPT1_8299999_12" localSheetId="0">'GMIC_2020-Annu_SCDPT1'!$P$1090</definedName>
    <definedName name="SCDPT1_8299999_13" localSheetId="0">'GMIC_2020-Annu_SCDPT1'!$Q$1090</definedName>
    <definedName name="SCDPT1_8299999_14" localSheetId="0">'GMIC_2020-Annu_SCDPT1'!$R$1090</definedName>
    <definedName name="SCDPT1_8299999_15" localSheetId="0">'GMIC_2020-Annu_SCDPT1'!$S$1090</definedName>
    <definedName name="SCDPT1_8299999_19" localSheetId="0">'GMIC_2020-Annu_SCDPT1'!$W$1090</definedName>
    <definedName name="SCDPT1_8299999_20" localSheetId="0">'GMIC_2020-Annu_SCDPT1'!$X$1090</definedName>
    <definedName name="SCDPT1_8299999_7" localSheetId="0">'GMIC_2020-Annu_SCDPT1'!$K$1090</definedName>
    <definedName name="SCDPT1_8299999_9" localSheetId="0">'GMIC_2020-Annu_SCDPT1'!$M$1090</definedName>
    <definedName name="SCDPT1_8399999_10" localSheetId="0">'GMIC_2020-Annu_SCDPT1'!$N$1091</definedName>
    <definedName name="SCDPT1_8399999_11" localSheetId="0">'GMIC_2020-Annu_SCDPT1'!$O$1091</definedName>
    <definedName name="SCDPT1_8399999_12" localSheetId="0">'GMIC_2020-Annu_SCDPT1'!$P$1091</definedName>
    <definedName name="SCDPT1_8399999_13" localSheetId="0">'GMIC_2020-Annu_SCDPT1'!$Q$1091</definedName>
    <definedName name="SCDPT1_8399999_14" localSheetId="0">'GMIC_2020-Annu_SCDPT1'!$R$1091</definedName>
    <definedName name="SCDPT1_8399999_15" localSheetId="0">'GMIC_2020-Annu_SCDPT1'!$S$1091</definedName>
    <definedName name="SCDPT1_8399999_19" localSheetId="0">'GMIC_2020-Annu_SCDPT1'!$W$1091</definedName>
    <definedName name="SCDPT1_8399999_20" localSheetId="0">'GMIC_2020-Annu_SCDPT1'!$X$1091</definedName>
    <definedName name="SCDPT1_8399999_7" localSheetId="0">'GMIC_2020-Annu_SCDPT1'!$K$1091</definedName>
    <definedName name="SCDPT1_8399999_9" localSheetId="0">'GMIC_2020-Annu_SCDPT1'!$M$1091</definedName>
    <definedName name="SCDPT2SN2_9000000_Range" localSheetId="1">'GMIC_2020-Annu_SCDPT2SN2'!$B$7:$AC$9</definedName>
    <definedName name="SCDPT2SN2_9099999_10" localSheetId="1">'GMIC_2020-Annu_SCDPT2SN2'!$L$10</definedName>
    <definedName name="SCDPT2SN2_9099999_11" localSheetId="1">'GMIC_2020-Annu_SCDPT2SN2'!$M$10</definedName>
    <definedName name="SCDPT2SN2_9099999_12" localSheetId="1">'GMIC_2020-Annu_SCDPT2SN2'!$N$10</definedName>
    <definedName name="SCDPT2SN2_9099999_13" localSheetId="1">'GMIC_2020-Annu_SCDPT2SN2'!$O$10</definedName>
    <definedName name="SCDPT2SN2_9099999_14" localSheetId="1">'GMIC_2020-Annu_SCDPT2SN2'!$P$10</definedName>
    <definedName name="SCDPT2SN2_9099999_15" localSheetId="1">'GMIC_2020-Annu_SCDPT2SN2'!$Q$10</definedName>
    <definedName name="SCDPT2SN2_9099999_16" localSheetId="1">'GMIC_2020-Annu_SCDPT2SN2'!$R$10</definedName>
    <definedName name="SCDPT2SN2_9099999_6" localSheetId="1">'GMIC_2020-Annu_SCDPT2SN2'!$H$10</definedName>
    <definedName name="SCDPT2SN2_9099999_8" localSheetId="1">'GMIC_2020-Annu_SCDPT2SN2'!$J$10</definedName>
    <definedName name="SCDPT2SN2_9099999_9" localSheetId="1">'GMIC_2020-Annu_SCDPT2SN2'!$K$10</definedName>
    <definedName name="SCDPT2SN2_90BEGIN_1" localSheetId="1">'GMIC_2020-Annu_SCDPT2SN2'!$C$7</definedName>
    <definedName name="SCDPT2SN2_90BEGIN_10" localSheetId="1">'GMIC_2020-Annu_SCDPT2SN2'!$L$7</definedName>
    <definedName name="SCDPT2SN2_90BEGIN_11" localSheetId="1">'GMIC_2020-Annu_SCDPT2SN2'!$M$7</definedName>
    <definedName name="SCDPT2SN2_90BEGIN_12" localSheetId="1">'GMIC_2020-Annu_SCDPT2SN2'!$N$7</definedName>
    <definedName name="SCDPT2SN2_90BEGIN_13" localSheetId="1">'GMIC_2020-Annu_SCDPT2SN2'!$O$7</definedName>
    <definedName name="SCDPT2SN2_90BEGIN_14" localSheetId="1">'GMIC_2020-Annu_SCDPT2SN2'!$P$7</definedName>
    <definedName name="SCDPT2SN2_90BEGIN_15" localSheetId="1">'GMIC_2020-Annu_SCDPT2SN2'!$Q$7</definedName>
    <definedName name="SCDPT2SN2_90BEGIN_16" localSheetId="1">'GMIC_2020-Annu_SCDPT2SN2'!$R$7</definedName>
    <definedName name="SCDPT2SN2_90BEGIN_17" localSheetId="1">'GMIC_2020-Annu_SCDPT2SN2'!$S$7</definedName>
    <definedName name="SCDPT2SN2_90BEGIN_18.01" localSheetId="1">'GMIC_2020-Annu_SCDPT2SN2'!$T$7</definedName>
    <definedName name="SCDPT2SN2_90BEGIN_18.02" localSheetId="1">'GMIC_2020-Annu_SCDPT2SN2'!$U$7</definedName>
    <definedName name="SCDPT2SN2_90BEGIN_18.03" localSheetId="1">'GMIC_2020-Annu_SCDPT2SN2'!$V$7</definedName>
    <definedName name="SCDPT2SN2_90BEGIN_19" localSheetId="1">'GMIC_2020-Annu_SCDPT2SN2'!$W$7</definedName>
    <definedName name="SCDPT2SN2_90BEGIN_2" localSheetId="1">'GMIC_2020-Annu_SCDPT2SN2'!$D$7</definedName>
    <definedName name="SCDPT2SN2_90BEGIN_20" localSheetId="1">'GMIC_2020-Annu_SCDPT2SN2'!$X$7</definedName>
    <definedName name="SCDPT2SN2_90BEGIN_21" localSheetId="1">'GMIC_2020-Annu_SCDPT2SN2'!$Y$7</definedName>
    <definedName name="SCDPT2SN2_90BEGIN_22" localSheetId="1">'GMIC_2020-Annu_SCDPT2SN2'!$Z$7</definedName>
    <definedName name="SCDPT2SN2_90BEGIN_23" localSheetId="1">'GMIC_2020-Annu_SCDPT2SN2'!$AA$7</definedName>
    <definedName name="SCDPT2SN2_90BEGIN_24" localSheetId="1">'GMIC_2020-Annu_SCDPT2SN2'!$AB$7</definedName>
    <definedName name="SCDPT2SN2_90BEGIN_25" localSheetId="1">'GMIC_2020-Annu_SCDPT2SN2'!$AC$7</definedName>
    <definedName name="SCDPT2SN2_90BEGIN_3" localSheetId="1">'GMIC_2020-Annu_SCDPT2SN2'!$E$7</definedName>
    <definedName name="SCDPT2SN2_90BEGIN_4" localSheetId="1">'GMIC_2020-Annu_SCDPT2SN2'!$F$7</definedName>
    <definedName name="SCDPT2SN2_90BEGIN_5" localSheetId="1">'GMIC_2020-Annu_SCDPT2SN2'!$G$7</definedName>
    <definedName name="SCDPT2SN2_90BEGIN_6" localSheetId="1">'GMIC_2020-Annu_SCDPT2SN2'!$H$7</definedName>
    <definedName name="SCDPT2SN2_90BEGIN_7" localSheetId="1">'GMIC_2020-Annu_SCDPT2SN2'!$I$7</definedName>
    <definedName name="SCDPT2SN2_90BEGIN_8" localSheetId="1">'GMIC_2020-Annu_SCDPT2SN2'!$J$7</definedName>
    <definedName name="SCDPT2SN2_90BEGIN_9" localSheetId="1">'GMIC_2020-Annu_SCDPT2SN2'!$K$7</definedName>
    <definedName name="SCDPT2SN2_90ENDIN_10" localSheetId="1">'GMIC_2020-Annu_SCDPT2SN2'!$L$9</definedName>
    <definedName name="SCDPT2SN2_90ENDIN_11" localSheetId="1">'GMIC_2020-Annu_SCDPT2SN2'!$M$9</definedName>
    <definedName name="SCDPT2SN2_90ENDIN_12" localSheetId="1">'GMIC_2020-Annu_SCDPT2SN2'!$N$9</definedName>
    <definedName name="SCDPT2SN2_90ENDIN_13" localSheetId="1">'GMIC_2020-Annu_SCDPT2SN2'!$O$9</definedName>
    <definedName name="SCDPT2SN2_90ENDIN_14" localSheetId="1">'GMIC_2020-Annu_SCDPT2SN2'!$P$9</definedName>
    <definedName name="SCDPT2SN2_90ENDIN_15" localSheetId="1">'GMIC_2020-Annu_SCDPT2SN2'!$Q$9</definedName>
    <definedName name="SCDPT2SN2_90ENDIN_16" localSheetId="1">'GMIC_2020-Annu_SCDPT2SN2'!$R$9</definedName>
    <definedName name="SCDPT2SN2_90ENDIN_17" localSheetId="1">'GMIC_2020-Annu_SCDPT2SN2'!$S$9</definedName>
    <definedName name="SCDPT2SN2_90ENDIN_18.01" localSheetId="1">'GMIC_2020-Annu_SCDPT2SN2'!$T$9</definedName>
    <definedName name="SCDPT2SN2_90ENDIN_18.02" localSheetId="1">'GMIC_2020-Annu_SCDPT2SN2'!$U$9</definedName>
    <definedName name="SCDPT2SN2_90ENDIN_18.03" localSheetId="1">'GMIC_2020-Annu_SCDPT2SN2'!$V$9</definedName>
    <definedName name="SCDPT2SN2_90ENDIN_19" localSheetId="1">'GMIC_2020-Annu_SCDPT2SN2'!$W$9</definedName>
    <definedName name="SCDPT2SN2_90ENDIN_2" localSheetId="1">'GMIC_2020-Annu_SCDPT2SN2'!$D$9</definedName>
    <definedName name="SCDPT2SN2_90ENDIN_20" localSheetId="1">'GMIC_2020-Annu_SCDPT2SN2'!$X$9</definedName>
    <definedName name="SCDPT2SN2_90ENDIN_21" localSheetId="1">'GMIC_2020-Annu_SCDPT2SN2'!$Y$9</definedName>
    <definedName name="SCDPT2SN2_90ENDIN_22" localSheetId="1">'GMIC_2020-Annu_SCDPT2SN2'!$Z$9</definedName>
    <definedName name="SCDPT2SN2_90ENDIN_23" localSheetId="1">'GMIC_2020-Annu_SCDPT2SN2'!$AA$9</definedName>
    <definedName name="SCDPT2SN2_90ENDIN_24" localSheetId="1">'GMIC_2020-Annu_SCDPT2SN2'!$AB$9</definedName>
    <definedName name="SCDPT2SN2_90ENDIN_25" localSheetId="1">'GMIC_2020-Annu_SCDPT2SN2'!$AC$9</definedName>
    <definedName name="SCDPT2SN2_90ENDIN_3" localSheetId="1">'GMIC_2020-Annu_SCDPT2SN2'!$E$9</definedName>
    <definedName name="SCDPT2SN2_90ENDIN_4" localSheetId="1">'GMIC_2020-Annu_SCDPT2SN2'!$F$9</definedName>
    <definedName name="SCDPT2SN2_90ENDIN_5" localSheetId="1">'GMIC_2020-Annu_SCDPT2SN2'!$G$9</definedName>
    <definedName name="SCDPT2SN2_90ENDIN_6" localSheetId="1">'GMIC_2020-Annu_SCDPT2SN2'!$H$9</definedName>
    <definedName name="SCDPT2SN2_90ENDIN_7" localSheetId="1">'GMIC_2020-Annu_SCDPT2SN2'!$I$9</definedName>
    <definedName name="SCDPT2SN2_90ENDIN_8" localSheetId="1">'GMIC_2020-Annu_SCDPT2SN2'!$J$9</definedName>
    <definedName name="SCDPT2SN2_90ENDIN_9" localSheetId="1">'GMIC_2020-Annu_SCDPT2SN2'!$K$9</definedName>
    <definedName name="SCDPT2SN2_9100000_Range" localSheetId="1">'GMIC_2020-Annu_SCDPT2SN2'!$B$11:$AC$13</definedName>
    <definedName name="SCDPT2SN2_9199999_10" localSheetId="1">'GMIC_2020-Annu_SCDPT2SN2'!$L$14</definedName>
    <definedName name="SCDPT2SN2_9199999_11" localSheetId="1">'GMIC_2020-Annu_SCDPT2SN2'!$M$14</definedName>
    <definedName name="SCDPT2SN2_9199999_12" localSheetId="1">'GMIC_2020-Annu_SCDPT2SN2'!$N$14</definedName>
    <definedName name="SCDPT2SN2_9199999_13" localSheetId="1">'GMIC_2020-Annu_SCDPT2SN2'!$O$14</definedName>
    <definedName name="SCDPT2SN2_9199999_14" localSheetId="1">'GMIC_2020-Annu_SCDPT2SN2'!$P$14</definedName>
    <definedName name="SCDPT2SN2_9199999_15" localSheetId="1">'GMIC_2020-Annu_SCDPT2SN2'!$Q$14</definedName>
    <definedName name="SCDPT2SN2_9199999_16" localSheetId="1">'GMIC_2020-Annu_SCDPT2SN2'!$R$14</definedName>
    <definedName name="SCDPT2SN2_9199999_6" localSheetId="1">'GMIC_2020-Annu_SCDPT2SN2'!$H$14</definedName>
    <definedName name="SCDPT2SN2_9199999_8" localSheetId="1">'GMIC_2020-Annu_SCDPT2SN2'!$J$14</definedName>
    <definedName name="SCDPT2SN2_9199999_9" localSheetId="1">'GMIC_2020-Annu_SCDPT2SN2'!$K$14</definedName>
    <definedName name="SCDPT2SN2_91BEGIN_1" localSheetId="1">'GMIC_2020-Annu_SCDPT2SN2'!$C$11</definedName>
    <definedName name="SCDPT2SN2_91BEGIN_10" localSheetId="1">'GMIC_2020-Annu_SCDPT2SN2'!$L$11</definedName>
    <definedName name="SCDPT2SN2_91BEGIN_11" localSheetId="1">'GMIC_2020-Annu_SCDPT2SN2'!$M$11</definedName>
    <definedName name="SCDPT2SN2_91BEGIN_12" localSheetId="1">'GMIC_2020-Annu_SCDPT2SN2'!$N$11</definedName>
    <definedName name="SCDPT2SN2_91BEGIN_13" localSheetId="1">'GMIC_2020-Annu_SCDPT2SN2'!$O$11</definedName>
    <definedName name="SCDPT2SN2_91BEGIN_14" localSheetId="1">'GMIC_2020-Annu_SCDPT2SN2'!$P$11</definedName>
    <definedName name="SCDPT2SN2_91BEGIN_15" localSheetId="1">'GMIC_2020-Annu_SCDPT2SN2'!$Q$11</definedName>
    <definedName name="SCDPT2SN2_91BEGIN_16" localSheetId="1">'GMIC_2020-Annu_SCDPT2SN2'!$R$11</definedName>
    <definedName name="SCDPT2SN2_91BEGIN_17" localSheetId="1">'GMIC_2020-Annu_SCDPT2SN2'!$S$11</definedName>
    <definedName name="SCDPT2SN2_91BEGIN_18.01" localSheetId="1">'GMIC_2020-Annu_SCDPT2SN2'!$T$11</definedName>
    <definedName name="SCDPT2SN2_91BEGIN_18.02" localSheetId="1">'GMIC_2020-Annu_SCDPT2SN2'!$U$11</definedName>
    <definedName name="SCDPT2SN2_91BEGIN_18.03" localSheetId="1">'GMIC_2020-Annu_SCDPT2SN2'!$V$11</definedName>
    <definedName name="SCDPT2SN2_91BEGIN_19" localSheetId="1">'GMIC_2020-Annu_SCDPT2SN2'!$W$11</definedName>
    <definedName name="SCDPT2SN2_91BEGIN_2" localSheetId="1">'GMIC_2020-Annu_SCDPT2SN2'!$D$11</definedName>
    <definedName name="SCDPT2SN2_91BEGIN_20" localSheetId="1">'GMIC_2020-Annu_SCDPT2SN2'!$X$11</definedName>
    <definedName name="SCDPT2SN2_91BEGIN_21" localSheetId="1">'GMIC_2020-Annu_SCDPT2SN2'!$Y$11</definedName>
    <definedName name="SCDPT2SN2_91BEGIN_22" localSheetId="1">'GMIC_2020-Annu_SCDPT2SN2'!$Z$11</definedName>
    <definedName name="SCDPT2SN2_91BEGIN_23" localSheetId="1">'GMIC_2020-Annu_SCDPT2SN2'!$AA$11</definedName>
    <definedName name="SCDPT2SN2_91BEGIN_24" localSheetId="1">'GMIC_2020-Annu_SCDPT2SN2'!$AB$11</definedName>
    <definedName name="SCDPT2SN2_91BEGIN_25" localSheetId="1">'GMIC_2020-Annu_SCDPT2SN2'!$AC$11</definedName>
    <definedName name="SCDPT2SN2_91BEGIN_3" localSheetId="1">'GMIC_2020-Annu_SCDPT2SN2'!$E$11</definedName>
    <definedName name="SCDPT2SN2_91BEGIN_4" localSheetId="1">'GMIC_2020-Annu_SCDPT2SN2'!$F$11</definedName>
    <definedName name="SCDPT2SN2_91BEGIN_5" localSheetId="1">'GMIC_2020-Annu_SCDPT2SN2'!$G$11</definedName>
    <definedName name="SCDPT2SN2_91BEGIN_6" localSheetId="1">'GMIC_2020-Annu_SCDPT2SN2'!$H$11</definedName>
    <definedName name="SCDPT2SN2_91BEGIN_7" localSheetId="1">'GMIC_2020-Annu_SCDPT2SN2'!$I$11</definedName>
    <definedName name="SCDPT2SN2_91BEGIN_8" localSheetId="1">'GMIC_2020-Annu_SCDPT2SN2'!$J$11</definedName>
    <definedName name="SCDPT2SN2_91BEGIN_9" localSheetId="1">'GMIC_2020-Annu_SCDPT2SN2'!$K$11</definedName>
    <definedName name="SCDPT2SN2_91ENDIN_10" localSheetId="1">'GMIC_2020-Annu_SCDPT2SN2'!$L$13</definedName>
    <definedName name="SCDPT2SN2_91ENDIN_11" localSheetId="1">'GMIC_2020-Annu_SCDPT2SN2'!$M$13</definedName>
    <definedName name="SCDPT2SN2_91ENDIN_12" localSheetId="1">'GMIC_2020-Annu_SCDPT2SN2'!$N$13</definedName>
    <definedName name="SCDPT2SN2_91ENDIN_13" localSheetId="1">'GMIC_2020-Annu_SCDPT2SN2'!$O$13</definedName>
    <definedName name="SCDPT2SN2_91ENDIN_14" localSheetId="1">'GMIC_2020-Annu_SCDPT2SN2'!$P$13</definedName>
    <definedName name="SCDPT2SN2_91ENDIN_15" localSheetId="1">'GMIC_2020-Annu_SCDPT2SN2'!$Q$13</definedName>
    <definedName name="SCDPT2SN2_91ENDIN_16" localSheetId="1">'GMIC_2020-Annu_SCDPT2SN2'!$R$13</definedName>
    <definedName name="SCDPT2SN2_91ENDIN_17" localSheetId="1">'GMIC_2020-Annu_SCDPT2SN2'!$S$13</definedName>
    <definedName name="SCDPT2SN2_91ENDIN_18.01" localSheetId="1">'GMIC_2020-Annu_SCDPT2SN2'!$T$13</definedName>
    <definedName name="SCDPT2SN2_91ENDIN_18.02" localSheetId="1">'GMIC_2020-Annu_SCDPT2SN2'!$U$13</definedName>
    <definedName name="SCDPT2SN2_91ENDIN_18.03" localSheetId="1">'GMIC_2020-Annu_SCDPT2SN2'!$V$13</definedName>
    <definedName name="SCDPT2SN2_91ENDIN_19" localSheetId="1">'GMIC_2020-Annu_SCDPT2SN2'!$W$13</definedName>
    <definedName name="SCDPT2SN2_91ENDIN_2" localSheetId="1">'GMIC_2020-Annu_SCDPT2SN2'!$D$13</definedName>
    <definedName name="SCDPT2SN2_91ENDIN_20" localSheetId="1">'GMIC_2020-Annu_SCDPT2SN2'!$X$13</definedName>
    <definedName name="SCDPT2SN2_91ENDIN_21" localSheetId="1">'GMIC_2020-Annu_SCDPT2SN2'!$Y$13</definedName>
    <definedName name="SCDPT2SN2_91ENDIN_22" localSheetId="1">'GMIC_2020-Annu_SCDPT2SN2'!$Z$13</definedName>
    <definedName name="SCDPT2SN2_91ENDIN_23" localSheetId="1">'GMIC_2020-Annu_SCDPT2SN2'!$AA$13</definedName>
    <definedName name="SCDPT2SN2_91ENDIN_24" localSheetId="1">'GMIC_2020-Annu_SCDPT2SN2'!$AB$13</definedName>
    <definedName name="SCDPT2SN2_91ENDIN_25" localSheetId="1">'GMIC_2020-Annu_SCDPT2SN2'!$AC$13</definedName>
    <definedName name="SCDPT2SN2_91ENDIN_3" localSheetId="1">'GMIC_2020-Annu_SCDPT2SN2'!$E$13</definedName>
    <definedName name="SCDPT2SN2_91ENDIN_4" localSheetId="1">'GMIC_2020-Annu_SCDPT2SN2'!$F$13</definedName>
    <definedName name="SCDPT2SN2_91ENDIN_5" localSheetId="1">'GMIC_2020-Annu_SCDPT2SN2'!$G$13</definedName>
    <definedName name="SCDPT2SN2_91ENDIN_6" localSheetId="1">'GMIC_2020-Annu_SCDPT2SN2'!$H$13</definedName>
    <definedName name="SCDPT2SN2_91ENDIN_7" localSheetId="1">'GMIC_2020-Annu_SCDPT2SN2'!$I$13</definedName>
    <definedName name="SCDPT2SN2_91ENDIN_8" localSheetId="1">'GMIC_2020-Annu_SCDPT2SN2'!$J$13</definedName>
    <definedName name="SCDPT2SN2_91ENDIN_9" localSheetId="1">'GMIC_2020-Annu_SCDPT2SN2'!$K$13</definedName>
    <definedName name="SCDPT2SN2_9200000_Range" localSheetId="1">'GMIC_2020-Annu_SCDPT2SN2'!$B$15:$AC$17</definedName>
    <definedName name="SCDPT2SN2_9299999_10" localSheetId="1">'GMIC_2020-Annu_SCDPT2SN2'!$L$18</definedName>
    <definedName name="SCDPT2SN2_9299999_11" localSheetId="1">'GMIC_2020-Annu_SCDPT2SN2'!$M$18</definedName>
    <definedName name="SCDPT2SN2_9299999_12" localSheetId="1">'GMIC_2020-Annu_SCDPT2SN2'!$N$18</definedName>
    <definedName name="SCDPT2SN2_9299999_13" localSheetId="1">'GMIC_2020-Annu_SCDPT2SN2'!$O$18</definedName>
    <definedName name="SCDPT2SN2_9299999_14" localSheetId="1">'GMIC_2020-Annu_SCDPT2SN2'!$P$18</definedName>
    <definedName name="SCDPT2SN2_9299999_15" localSheetId="1">'GMIC_2020-Annu_SCDPT2SN2'!$Q$18</definedName>
    <definedName name="SCDPT2SN2_9299999_16" localSheetId="1">'GMIC_2020-Annu_SCDPT2SN2'!$R$18</definedName>
    <definedName name="SCDPT2SN2_9299999_6" localSheetId="1">'GMIC_2020-Annu_SCDPT2SN2'!$H$18</definedName>
    <definedName name="SCDPT2SN2_9299999_8" localSheetId="1">'GMIC_2020-Annu_SCDPT2SN2'!$J$18</definedName>
    <definedName name="SCDPT2SN2_9299999_9" localSheetId="1">'GMIC_2020-Annu_SCDPT2SN2'!$K$18</definedName>
    <definedName name="SCDPT2SN2_92BEGIN_1" localSheetId="1">'GMIC_2020-Annu_SCDPT2SN2'!$C$15</definedName>
    <definedName name="SCDPT2SN2_92BEGIN_10" localSheetId="1">'GMIC_2020-Annu_SCDPT2SN2'!$L$15</definedName>
    <definedName name="SCDPT2SN2_92BEGIN_11" localSheetId="1">'GMIC_2020-Annu_SCDPT2SN2'!$M$15</definedName>
    <definedName name="SCDPT2SN2_92BEGIN_12" localSheetId="1">'GMIC_2020-Annu_SCDPT2SN2'!$N$15</definedName>
    <definedName name="SCDPT2SN2_92BEGIN_13" localSheetId="1">'GMIC_2020-Annu_SCDPT2SN2'!$O$15</definedName>
    <definedName name="SCDPT2SN2_92BEGIN_14" localSheetId="1">'GMIC_2020-Annu_SCDPT2SN2'!$P$15</definedName>
    <definedName name="SCDPT2SN2_92BEGIN_15" localSheetId="1">'GMIC_2020-Annu_SCDPT2SN2'!$Q$15</definedName>
    <definedName name="SCDPT2SN2_92BEGIN_16" localSheetId="1">'GMIC_2020-Annu_SCDPT2SN2'!$R$15</definedName>
    <definedName name="SCDPT2SN2_92BEGIN_17" localSheetId="1">'GMIC_2020-Annu_SCDPT2SN2'!$S$15</definedName>
    <definedName name="SCDPT2SN2_92BEGIN_18.01" localSheetId="1">'GMIC_2020-Annu_SCDPT2SN2'!$T$15</definedName>
    <definedName name="SCDPT2SN2_92BEGIN_18.02" localSheetId="1">'GMIC_2020-Annu_SCDPT2SN2'!$U$15</definedName>
    <definedName name="SCDPT2SN2_92BEGIN_18.03" localSheetId="1">'GMIC_2020-Annu_SCDPT2SN2'!$V$15</definedName>
    <definedName name="SCDPT2SN2_92BEGIN_19" localSheetId="1">'GMIC_2020-Annu_SCDPT2SN2'!$W$15</definedName>
    <definedName name="SCDPT2SN2_92BEGIN_2" localSheetId="1">'GMIC_2020-Annu_SCDPT2SN2'!$D$15</definedName>
    <definedName name="SCDPT2SN2_92BEGIN_20" localSheetId="1">'GMIC_2020-Annu_SCDPT2SN2'!$X$15</definedName>
    <definedName name="SCDPT2SN2_92BEGIN_21" localSheetId="1">'GMIC_2020-Annu_SCDPT2SN2'!$Y$15</definedName>
    <definedName name="SCDPT2SN2_92BEGIN_22" localSheetId="1">'GMIC_2020-Annu_SCDPT2SN2'!$Z$15</definedName>
    <definedName name="SCDPT2SN2_92BEGIN_23" localSheetId="1">'GMIC_2020-Annu_SCDPT2SN2'!$AA$15</definedName>
    <definedName name="SCDPT2SN2_92BEGIN_24" localSheetId="1">'GMIC_2020-Annu_SCDPT2SN2'!$AB$15</definedName>
    <definedName name="SCDPT2SN2_92BEGIN_25" localSheetId="1">'GMIC_2020-Annu_SCDPT2SN2'!$AC$15</definedName>
    <definedName name="SCDPT2SN2_92BEGIN_3" localSheetId="1">'GMIC_2020-Annu_SCDPT2SN2'!$E$15</definedName>
    <definedName name="SCDPT2SN2_92BEGIN_4" localSheetId="1">'GMIC_2020-Annu_SCDPT2SN2'!$F$15</definedName>
    <definedName name="SCDPT2SN2_92BEGIN_5" localSheetId="1">'GMIC_2020-Annu_SCDPT2SN2'!$G$15</definedName>
    <definedName name="SCDPT2SN2_92BEGIN_6" localSheetId="1">'GMIC_2020-Annu_SCDPT2SN2'!$H$15</definedName>
    <definedName name="SCDPT2SN2_92BEGIN_7" localSheetId="1">'GMIC_2020-Annu_SCDPT2SN2'!$I$15</definedName>
    <definedName name="SCDPT2SN2_92BEGIN_8" localSheetId="1">'GMIC_2020-Annu_SCDPT2SN2'!$J$15</definedName>
    <definedName name="SCDPT2SN2_92BEGIN_9" localSheetId="1">'GMIC_2020-Annu_SCDPT2SN2'!$K$15</definedName>
    <definedName name="SCDPT2SN2_92ENDIN_10" localSheetId="1">'GMIC_2020-Annu_SCDPT2SN2'!$L$17</definedName>
    <definedName name="SCDPT2SN2_92ENDIN_11" localSheetId="1">'GMIC_2020-Annu_SCDPT2SN2'!$M$17</definedName>
    <definedName name="SCDPT2SN2_92ENDIN_12" localSheetId="1">'GMIC_2020-Annu_SCDPT2SN2'!$N$17</definedName>
    <definedName name="SCDPT2SN2_92ENDIN_13" localSheetId="1">'GMIC_2020-Annu_SCDPT2SN2'!$O$17</definedName>
    <definedName name="SCDPT2SN2_92ENDIN_14" localSheetId="1">'GMIC_2020-Annu_SCDPT2SN2'!$P$17</definedName>
    <definedName name="SCDPT2SN2_92ENDIN_15" localSheetId="1">'GMIC_2020-Annu_SCDPT2SN2'!$Q$17</definedName>
    <definedName name="SCDPT2SN2_92ENDIN_16" localSheetId="1">'GMIC_2020-Annu_SCDPT2SN2'!$R$17</definedName>
    <definedName name="SCDPT2SN2_92ENDIN_17" localSheetId="1">'GMIC_2020-Annu_SCDPT2SN2'!$S$17</definedName>
    <definedName name="SCDPT2SN2_92ENDIN_18.01" localSheetId="1">'GMIC_2020-Annu_SCDPT2SN2'!$T$17</definedName>
    <definedName name="SCDPT2SN2_92ENDIN_18.02" localSheetId="1">'GMIC_2020-Annu_SCDPT2SN2'!$U$17</definedName>
    <definedName name="SCDPT2SN2_92ENDIN_18.03" localSheetId="1">'GMIC_2020-Annu_SCDPT2SN2'!$V$17</definedName>
    <definedName name="SCDPT2SN2_92ENDIN_19" localSheetId="1">'GMIC_2020-Annu_SCDPT2SN2'!$W$17</definedName>
    <definedName name="SCDPT2SN2_92ENDIN_2" localSheetId="1">'GMIC_2020-Annu_SCDPT2SN2'!$D$17</definedName>
    <definedName name="SCDPT2SN2_92ENDIN_20" localSheetId="1">'GMIC_2020-Annu_SCDPT2SN2'!$X$17</definedName>
    <definedName name="SCDPT2SN2_92ENDIN_21" localSheetId="1">'GMIC_2020-Annu_SCDPT2SN2'!$Y$17</definedName>
    <definedName name="SCDPT2SN2_92ENDIN_22" localSheetId="1">'GMIC_2020-Annu_SCDPT2SN2'!$Z$17</definedName>
    <definedName name="SCDPT2SN2_92ENDIN_23" localSheetId="1">'GMIC_2020-Annu_SCDPT2SN2'!$AA$17</definedName>
    <definedName name="SCDPT2SN2_92ENDIN_24" localSheetId="1">'GMIC_2020-Annu_SCDPT2SN2'!$AB$17</definedName>
    <definedName name="SCDPT2SN2_92ENDIN_25" localSheetId="1">'GMIC_2020-Annu_SCDPT2SN2'!$AC$17</definedName>
    <definedName name="SCDPT2SN2_92ENDIN_3" localSheetId="1">'GMIC_2020-Annu_SCDPT2SN2'!$E$17</definedName>
    <definedName name="SCDPT2SN2_92ENDIN_4" localSheetId="1">'GMIC_2020-Annu_SCDPT2SN2'!$F$17</definedName>
    <definedName name="SCDPT2SN2_92ENDIN_5" localSheetId="1">'GMIC_2020-Annu_SCDPT2SN2'!$G$17</definedName>
    <definedName name="SCDPT2SN2_92ENDIN_6" localSheetId="1">'GMIC_2020-Annu_SCDPT2SN2'!$H$17</definedName>
    <definedName name="SCDPT2SN2_92ENDIN_7" localSheetId="1">'GMIC_2020-Annu_SCDPT2SN2'!$I$17</definedName>
    <definedName name="SCDPT2SN2_92ENDIN_8" localSheetId="1">'GMIC_2020-Annu_SCDPT2SN2'!$J$17</definedName>
    <definedName name="SCDPT2SN2_92ENDIN_9" localSheetId="1">'GMIC_2020-Annu_SCDPT2SN2'!$K$17</definedName>
    <definedName name="SCDPT2SN2_9300000_Range" localSheetId="1">'GMIC_2020-Annu_SCDPT2SN2'!$B$19:$AC$21</definedName>
    <definedName name="SCDPT2SN2_9300001_1" localSheetId="1">'GMIC_2020-Annu_SCDPT2SN2'!$C$20</definedName>
    <definedName name="SCDPT2SN2_9300001_10" localSheetId="1">'GMIC_2020-Annu_SCDPT2SN2'!$L$20</definedName>
    <definedName name="SCDPT2SN2_9300001_11" localSheetId="1">'GMIC_2020-Annu_SCDPT2SN2'!$M$20</definedName>
    <definedName name="SCDPT2SN2_9300001_12" localSheetId="1">'GMIC_2020-Annu_SCDPT2SN2'!$N$20</definedName>
    <definedName name="SCDPT2SN2_9300001_13" localSheetId="1">'GMIC_2020-Annu_SCDPT2SN2'!$O$20</definedName>
    <definedName name="SCDPT2SN2_9300001_14" localSheetId="1">'GMIC_2020-Annu_SCDPT2SN2'!$P$20</definedName>
    <definedName name="SCDPT2SN2_9300001_15" localSheetId="1">'GMIC_2020-Annu_SCDPT2SN2'!$Q$20</definedName>
    <definedName name="SCDPT2SN2_9300001_16" localSheetId="1">'GMIC_2020-Annu_SCDPT2SN2'!$R$20</definedName>
    <definedName name="SCDPT2SN2_9300001_17" localSheetId="1">'GMIC_2020-Annu_SCDPT2SN2'!$S$20</definedName>
    <definedName name="SCDPT2SN2_9300001_19" localSheetId="1">'GMIC_2020-Annu_SCDPT2SN2'!$W$20</definedName>
    <definedName name="SCDPT2SN2_9300001_2" localSheetId="1">'GMIC_2020-Annu_SCDPT2SN2'!$D$20</definedName>
    <definedName name="SCDPT2SN2_9300001_20" localSheetId="1">'GMIC_2020-Annu_SCDPT2SN2'!$X$20</definedName>
    <definedName name="SCDPT2SN2_9300001_21" localSheetId="1">'GMIC_2020-Annu_SCDPT2SN2'!$Y$20</definedName>
    <definedName name="SCDPT2SN2_9300001_22" localSheetId="1">'GMIC_2020-Annu_SCDPT2SN2'!$Z$20</definedName>
    <definedName name="SCDPT2SN2_9300001_23" localSheetId="1">'GMIC_2020-Annu_SCDPT2SN2'!$AA$20</definedName>
    <definedName name="SCDPT2SN2_9300001_24" localSheetId="1">'GMIC_2020-Annu_SCDPT2SN2'!$AB$20</definedName>
    <definedName name="SCDPT2SN2_9300001_3" localSheetId="1">'GMIC_2020-Annu_SCDPT2SN2'!$E$20</definedName>
    <definedName name="SCDPT2SN2_9300001_4" localSheetId="1">'GMIC_2020-Annu_SCDPT2SN2'!$F$20</definedName>
    <definedName name="SCDPT2SN2_9300001_5" localSheetId="1">'GMIC_2020-Annu_SCDPT2SN2'!$G$20</definedName>
    <definedName name="SCDPT2SN2_9300001_6" localSheetId="1">'GMIC_2020-Annu_SCDPT2SN2'!$H$20</definedName>
    <definedName name="SCDPT2SN2_9300001_7" localSheetId="1">'GMIC_2020-Annu_SCDPT2SN2'!$I$20</definedName>
    <definedName name="SCDPT2SN2_9300001_8" localSheetId="1">'GMIC_2020-Annu_SCDPT2SN2'!$J$20</definedName>
    <definedName name="SCDPT2SN2_9300001_9" localSheetId="1">'GMIC_2020-Annu_SCDPT2SN2'!$K$20</definedName>
    <definedName name="SCDPT2SN2_9399999_10" localSheetId="1">'GMIC_2020-Annu_SCDPT2SN2'!$L$22</definedName>
    <definedName name="SCDPT2SN2_9399999_11" localSheetId="1">'GMIC_2020-Annu_SCDPT2SN2'!$M$22</definedName>
    <definedName name="SCDPT2SN2_9399999_12" localSheetId="1">'GMIC_2020-Annu_SCDPT2SN2'!$N$22</definedName>
    <definedName name="SCDPT2SN2_9399999_13" localSheetId="1">'GMIC_2020-Annu_SCDPT2SN2'!$O$22</definedName>
    <definedName name="SCDPT2SN2_9399999_14" localSheetId="1">'GMIC_2020-Annu_SCDPT2SN2'!$P$22</definedName>
    <definedName name="SCDPT2SN2_9399999_15" localSheetId="1">'GMIC_2020-Annu_SCDPT2SN2'!$Q$22</definedName>
    <definedName name="SCDPT2SN2_9399999_16" localSheetId="1">'GMIC_2020-Annu_SCDPT2SN2'!$R$22</definedName>
    <definedName name="SCDPT2SN2_9399999_6" localSheetId="1">'GMIC_2020-Annu_SCDPT2SN2'!$H$22</definedName>
    <definedName name="SCDPT2SN2_9399999_8" localSheetId="1">'GMIC_2020-Annu_SCDPT2SN2'!$J$22</definedName>
    <definedName name="SCDPT2SN2_9399999_9" localSheetId="1">'GMIC_2020-Annu_SCDPT2SN2'!$K$22</definedName>
    <definedName name="SCDPT2SN2_93BEGIN_1" localSheetId="1">'GMIC_2020-Annu_SCDPT2SN2'!$C$19</definedName>
    <definedName name="SCDPT2SN2_93BEGIN_10" localSheetId="1">'GMIC_2020-Annu_SCDPT2SN2'!$L$19</definedName>
    <definedName name="SCDPT2SN2_93BEGIN_11" localSheetId="1">'GMIC_2020-Annu_SCDPT2SN2'!$M$19</definedName>
    <definedName name="SCDPT2SN2_93BEGIN_12" localSheetId="1">'GMIC_2020-Annu_SCDPT2SN2'!$N$19</definedName>
    <definedName name="SCDPT2SN2_93BEGIN_13" localSheetId="1">'GMIC_2020-Annu_SCDPT2SN2'!$O$19</definedName>
    <definedName name="SCDPT2SN2_93BEGIN_14" localSheetId="1">'GMIC_2020-Annu_SCDPT2SN2'!$P$19</definedName>
    <definedName name="SCDPT2SN2_93BEGIN_15" localSheetId="1">'GMIC_2020-Annu_SCDPT2SN2'!$Q$19</definedName>
    <definedName name="SCDPT2SN2_93BEGIN_16" localSheetId="1">'GMIC_2020-Annu_SCDPT2SN2'!$R$19</definedName>
    <definedName name="SCDPT2SN2_93BEGIN_17" localSheetId="1">'GMIC_2020-Annu_SCDPT2SN2'!$S$19</definedName>
    <definedName name="SCDPT2SN2_93BEGIN_18.01" localSheetId="1">'GMIC_2020-Annu_SCDPT2SN2'!$T$19</definedName>
    <definedName name="SCDPT2SN2_93BEGIN_18.02" localSheetId="1">'GMIC_2020-Annu_SCDPT2SN2'!$U$19</definedName>
    <definedName name="SCDPT2SN2_93BEGIN_18.03" localSheetId="1">'GMIC_2020-Annu_SCDPT2SN2'!$V$19</definedName>
    <definedName name="SCDPT2SN2_93BEGIN_19" localSheetId="1">'GMIC_2020-Annu_SCDPT2SN2'!$W$19</definedName>
    <definedName name="SCDPT2SN2_93BEGIN_2" localSheetId="1">'GMIC_2020-Annu_SCDPT2SN2'!$D$19</definedName>
    <definedName name="SCDPT2SN2_93BEGIN_20" localSheetId="1">'GMIC_2020-Annu_SCDPT2SN2'!$X$19</definedName>
    <definedName name="SCDPT2SN2_93BEGIN_21" localSheetId="1">'GMIC_2020-Annu_SCDPT2SN2'!$Y$19</definedName>
    <definedName name="SCDPT2SN2_93BEGIN_22" localSheetId="1">'GMIC_2020-Annu_SCDPT2SN2'!$Z$19</definedName>
    <definedName name="SCDPT2SN2_93BEGIN_23" localSheetId="1">'GMIC_2020-Annu_SCDPT2SN2'!$AA$19</definedName>
    <definedName name="SCDPT2SN2_93BEGIN_24" localSheetId="1">'GMIC_2020-Annu_SCDPT2SN2'!$AB$19</definedName>
    <definedName name="SCDPT2SN2_93BEGIN_25" localSheetId="1">'GMIC_2020-Annu_SCDPT2SN2'!$AC$19</definedName>
    <definedName name="SCDPT2SN2_93BEGIN_3" localSheetId="1">'GMIC_2020-Annu_SCDPT2SN2'!$E$19</definedName>
    <definedName name="SCDPT2SN2_93BEGIN_4" localSheetId="1">'GMIC_2020-Annu_SCDPT2SN2'!$F$19</definedName>
    <definedName name="SCDPT2SN2_93BEGIN_5" localSheetId="1">'GMIC_2020-Annu_SCDPT2SN2'!$G$19</definedName>
    <definedName name="SCDPT2SN2_93BEGIN_6" localSheetId="1">'GMIC_2020-Annu_SCDPT2SN2'!$H$19</definedName>
    <definedName name="SCDPT2SN2_93BEGIN_7" localSheetId="1">'GMIC_2020-Annu_SCDPT2SN2'!$I$19</definedName>
    <definedName name="SCDPT2SN2_93BEGIN_8" localSheetId="1">'GMIC_2020-Annu_SCDPT2SN2'!$J$19</definedName>
    <definedName name="SCDPT2SN2_93BEGIN_9" localSheetId="1">'GMIC_2020-Annu_SCDPT2SN2'!$K$19</definedName>
    <definedName name="SCDPT2SN2_93ENDIN_10" localSheetId="1">'GMIC_2020-Annu_SCDPT2SN2'!$L$21</definedName>
    <definedName name="SCDPT2SN2_93ENDIN_11" localSheetId="1">'GMIC_2020-Annu_SCDPT2SN2'!$M$21</definedName>
    <definedName name="SCDPT2SN2_93ENDIN_12" localSheetId="1">'GMIC_2020-Annu_SCDPT2SN2'!$N$21</definedName>
    <definedName name="SCDPT2SN2_93ENDIN_13" localSheetId="1">'GMIC_2020-Annu_SCDPT2SN2'!$O$21</definedName>
    <definedName name="SCDPT2SN2_93ENDIN_14" localSheetId="1">'GMIC_2020-Annu_SCDPT2SN2'!$P$21</definedName>
    <definedName name="SCDPT2SN2_93ENDIN_15" localSheetId="1">'GMIC_2020-Annu_SCDPT2SN2'!$Q$21</definedName>
    <definedName name="SCDPT2SN2_93ENDIN_16" localSheetId="1">'GMIC_2020-Annu_SCDPT2SN2'!$R$21</definedName>
    <definedName name="SCDPT2SN2_93ENDIN_17" localSheetId="1">'GMIC_2020-Annu_SCDPT2SN2'!$S$21</definedName>
    <definedName name="SCDPT2SN2_93ENDIN_18.01" localSheetId="1">'GMIC_2020-Annu_SCDPT2SN2'!$T$21</definedName>
    <definedName name="SCDPT2SN2_93ENDIN_18.02" localSheetId="1">'GMIC_2020-Annu_SCDPT2SN2'!$U$21</definedName>
    <definedName name="SCDPT2SN2_93ENDIN_18.03" localSheetId="1">'GMIC_2020-Annu_SCDPT2SN2'!$V$21</definedName>
    <definedName name="SCDPT2SN2_93ENDIN_19" localSheetId="1">'GMIC_2020-Annu_SCDPT2SN2'!$W$21</definedName>
    <definedName name="SCDPT2SN2_93ENDIN_2" localSheetId="1">'GMIC_2020-Annu_SCDPT2SN2'!$D$21</definedName>
    <definedName name="SCDPT2SN2_93ENDIN_20" localSheetId="1">'GMIC_2020-Annu_SCDPT2SN2'!$X$21</definedName>
    <definedName name="SCDPT2SN2_93ENDIN_21" localSheetId="1">'GMIC_2020-Annu_SCDPT2SN2'!$Y$21</definedName>
    <definedName name="SCDPT2SN2_93ENDIN_22" localSheetId="1">'GMIC_2020-Annu_SCDPT2SN2'!$Z$21</definedName>
    <definedName name="SCDPT2SN2_93ENDIN_23" localSheetId="1">'GMIC_2020-Annu_SCDPT2SN2'!$AA$21</definedName>
    <definedName name="SCDPT2SN2_93ENDIN_24" localSheetId="1">'GMIC_2020-Annu_SCDPT2SN2'!$AB$21</definedName>
    <definedName name="SCDPT2SN2_93ENDIN_25" localSheetId="1">'GMIC_2020-Annu_SCDPT2SN2'!$AC$21</definedName>
    <definedName name="SCDPT2SN2_93ENDIN_3" localSheetId="1">'GMIC_2020-Annu_SCDPT2SN2'!$E$21</definedName>
    <definedName name="SCDPT2SN2_93ENDIN_4" localSheetId="1">'GMIC_2020-Annu_SCDPT2SN2'!$F$21</definedName>
    <definedName name="SCDPT2SN2_93ENDIN_5" localSheetId="1">'GMIC_2020-Annu_SCDPT2SN2'!$G$21</definedName>
    <definedName name="SCDPT2SN2_93ENDIN_6" localSheetId="1">'GMIC_2020-Annu_SCDPT2SN2'!$H$21</definedName>
    <definedName name="SCDPT2SN2_93ENDIN_7" localSheetId="1">'GMIC_2020-Annu_SCDPT2SN2'!$I$21</definedName>
    <definedName name="SCDPT2SN2_93ENDIN_8" localSheetId="1">'GMIC_2020-Annu_SCDPT2SN2'!$J$21</definedName>
    <definedName name="SCDPT2SN2_93ENDIN_9" localSheetId="1">'GMIC_2020-Annu_SCDPT2SN2'!$K$21</definedName>
    <definedName name="SCDPT2SN2_9400000_Range" localSheetId="1">'GMIC_2020-Annu_SCDPT2SN2'!$B$23:$AC$25</definedName>
    <definedName name="SCDPT2SN2_9499999_10" localSheetId="1">'GMIC_2020-Annu_SCDPT2SN2'!$L$26</definedName>
    <definedName name="SCDPT2SN2_9499999_11" localSheetId="1">'GMIC_2020-Annu_SCDPT2SN2'!$M$26</definedName>
    <definedName name="SCDPT2SN2_9499999_12" localSheetId="1">'GMIC_2020-Annu_SCDPT2SN2'!$N$26</definedName>
    <definedName name="SCDPT2SN2_9499999_13" localSheetId="1">'GMIC_2020-Annu_SCDPT2SN2'!$O$26</definedName>
    <definedName name="SCDPT2SN2_9499999_14" localSheetId="1">'GMIC_2020-Annu_SCDPT2SN2'!$P$26</definedName>
    <definedName name="SCDPT2SN2_9499999_15" localSheetId="1">'GMIC_2020-Annu_SCDPT2SN2'!$Q$26</definedName>
    <definedName name="SCDPT2SN2_9499999_16" localSheetId="1">'GMIC_2020-Annu_SCDPT2SN2'!$R$26</definedName>
    <definedName name="SCDPT2SN2_9499999_6" localSheetId="1">'GMIC_2020-Annu_SCDPT2SN2'!$H$26</definedName>
    <definedName name="SCDPT2SN2_9499999_8" localSheetId="1">'GMIC_2020-Annu_SCDPT2SN2'!$J$26</definedName>
    <definedName name="SCDPT2SN2_9499999_9" localSheetId="1">'GMIC_2020-Annu_SCDPT2SN2'!$K$26</definedName>
    <definedName name="SCDPT2SN2_94BEGIN_1" localSheetId="1">'GMIC_2020-Annu_SCDPT2SN2'!$C$23</definedName>
    <definedName name="SCDPT2SN2_94BEGIN_10" localSheetId="1">'GMIC_2020-Annu_SCDPT2SN2'!$L$23</definedName>
    <definedName name="SCDPT2SN2_94BEGIN_11" localSheetId="1">'GMIC_2020-Annu_SCDPT2SN2'!$M$23</definedName>
    <definedName name="SCDPT2SN2_94BEGIN_12" localSheetId="1">'GMIC_2020-Annu_SCDPT2SN2'!$N$23</definedName>
    <definedName name="SCDPT2SN2_94BEGIN_13" localSheetId="1">'GMIC_2020-Annu_SCDPT2SN2'!$O$23</definedName>
    <definedName name="SCDPT2SN2_94BEGIN_14" localSheetId="1">'GMIC_2020-Annu_SCDPT2SN2'!$P$23</definedName>
    <definedName name="SCDPT2SN2_94BEGIN_15" localSheetId="1">'GMIC_2020-Annu_SCDPT2SN2'!$Q$23</definedName>
    <definedName name="SCDPT2SN2_94BEGIN_16" localSheetId="1">'GMIC_2020-Annu_SCDPT2SN2'!$R$23</definedName>
    <definedName name="SCDPT2SN2_94BEGIN_17" localSheetId="1">'GMIC_2020-Annu_SCDPT2SN2'!$S$23</definedName>
    <definedName name="SCDPT2SN2_94BEGIN_18.01" localSheetId="1">'GMIC_2020-Annu_SCDPT2SN2'!$T$23</definedName>
    <definedName name="SCDPT2SN2_94BEGIN_18.02" localSheetId="1">'GMIC_2020-Annu_SCDPT2SN2'!$U$23</definedName>
    <definedName name="SCDPT2SN2_94BEGIN_18.03" localSheetId="1">'GMIC_2020-Annu_SCDPT2SN2'!$V$23</definedName>
    <definedName name="SCDPT2SN2_94BEGIN_19" localSheetId="1">'GMIC_2020-Annu_SCDPT2SN2'!$W$23</definedName>
    <definedName name="SCDPT2SN2_94BEGIN_2" localSheetId="1">'GMIC_2020-Annu_SCDPT2SN2'!$D$23</definedName>
    <definedName name="SCDPT2SN2_94BEGIN_20" localSheetId="1">'GMIC_2020-Annu_SCDPT2SN2'!$X$23</definedName>
    <definedName name="SCDPT2SN2_94BEGIN_21" localSheetId="1">'GMIC_2020-Annu_SCDPT2SN2'!$Y$23</definedName>
    <definedName name="SCDPT2SN2_94BEGIN_22" localSheetId="1">'GMIC_2020-Annu_SCDPT2SN2'!$Z$23</definedName>
    <definedName name="SCDPT2SN2_94BEGIN_23" localSheetId="1">'GMIC_2020-Annu_SCDPT2SN2'!$AA$23</definedName>
    <definedName name="SCDPT2SN2_94BEGIN_24" localSheetId="1">'GMIC_2020-Annu_SCDPT2SN2'!$AB$23</definedName>
    <definedName name="SCDPT2SN2_94BEGIN_25" localSheetId="1">'GMIC_2020-Annu_SCDPT2SN2'!$AC$23</definedName>
    <definedName name="SCDPT2SN2_94BEGIN_3" localSheetId="1">'GMIC_2020-Annu_SCDPT2SN2'!$E$23</definedName>
    <definedName name="SCDPT2SN2_94BEGIN_4" localSheetId="1">'GMIC_2020-Annu_SCDPT2SN2'!$F$23</definedName>
    <definedName name="SCDPT2SN2_94BEGIN_5" localSheetId="1">'GMIC_2020-Annu_SCDPT2SN2'!$G$23</definedName>
    <definedName name="SCDPT2SN2_94BEGIN_6" localSheetId="1">'GMIC_2020-Annu_SCDPT2SN2'!$H$23</definedName>
    <definedName name="SCDPT2SN2_94BEGIN_7" localSheetId="1">'GMIC_2020-Annu_SCDPT2SN2'!$I$23</definedName>
    <definedName name="SCDPT2SN2_94BEGIN_8" localSheetId="1">'GMIC_2020-Annu_SCDPT2SN2'!$J$23</definedName>
    <definedName name="SCDPT2SN2_94BEGIN_9" localSheetId="1">'GMIC_2020-Annu_SCDPT2SN2'!$K$23</definedName>
    <definedName name="SCDPT2SN2_94ENDIN_10" localSheetId="1">'GMIC_2020-Annu_SCDPT2SN2'!$L$25</definedName>
    <definedName name="SCDPT2SN2_94ENDIN_11" localSheetId="1">'GMIC_2020-Annu_SCDPT2SN2'!$M$25</definedName>
    <definedName name="SCDPT2SN2_94ENDIN_12" localSheetId="1">'GMIC_2020-Annu_SCDPT2SN2'!$N$25</definedName>
    <definedName name="SCDPT2SN2_94ENDIN_13" localSheetId="1">'GMIC_2020-Annu_SCDPT2SN2'!$O$25</definedName>
    <definedName name="SCDPT2SN2_94ENDIN_14" localSheetId="1">'GMIC_2020-Annu_SCDPT2SN2'!$P$25</definedName>
    <definedName name="SCDPT2SN2_94ENDIN_15" localSheetId="1">'GMIC_2020-Annu_SCDPT2SN2'!$Q$25</definedName>
    <definedName name="SCDPT2SN2_94ENDIN_16" localSheetId="1">'GMIC_2020-Annu_SCDPT2SN2'!$R$25</definedName>
    <definedName name="SCDPT2SN2_94ENDIN_17" localSheetId="1">'GMIC_2020-Annu_SCDPT2SN2'!$S$25</definedName>
    <definedName name="SCDPT2SN2_94ENDIN_18.01" localSheetId="1">'GMIC_2020-Annu_SCDPT2SN2'!$T$25</definedName>
    <definedName name="SCDPT2SN2_94ENDIN_18.02" localSheetId="1">'GMIC_2020-Annu_SCDPT2SN2'!$U$25</definedName>
    <definedName name="SCDPT2SN2_94ENDIN_18.03" localSheetId="1">'GMIC_2020-Annu_SCDPT2SN2'!$V$25</definedName>
    <definedName name="SCDPT2SN2_94ENDIN_19" localSheetId="1">'GMIC_2020-Annu_SCDPT2SN2'!$W$25</definedName>
    <definedName name="SCDPT2SN2_94ENDIN_2" localSheetId="1">'GMIC_2020-Annu_SCDPT2SN2'!$D$25</definedName>
    <definedName name="SCDPT2SN2_94ENDIN_20" localSheetId="1">'GMIC_2020-Annu_SCDPT2SN2'!$X$25</definedName>
    <definedName name="SCDPT2SN2_94ENDIN_21" localSheetId="1">'GMIC_2020-Annu_SCDPT2SN2'!$Y$25</definedName>
    <definedName name="SCDPT2SN2_94ENDIN_22" localSheetId="1">'GMIC_2020-Annu_SCDPT2SN2'!$Z$25</definedName>
    <definedName name="SCDPT2SN2_94ENDIN_23" localSheetId="1">'GMIC_2020-Annu_SCDPT2SN2'!$AA$25</definedName>
    <definedName name="SCDPT2SN2_94ENDIN_24" localSheetId="1">'GMIC_2020-Annu_SCDPT2SN2'!$AB$25</definedName>
    <definedName name="SCDPT2SN2_94ENDIN_25" localSheetId="1">'GMIC_2020-Annu_SCDPT2SN2'!$AC$25</definedName>
    <definedName name="SCDPT2SN2_94ENDIN_3" localSheetId="1">'GMIC_2020-Annu_SCDPT2SN2'!$E$25</definedName>
    <definedName name="SCDPT2SN2_94ENDIN_4" localSheetId="1">'GMIC_2020-Annu_SCDPT2SN2'!$F$25</definedName>
    <definedName name="SCDPT2SN2_94ENDIN_5" localSheetId="1">'GMIC_2020-Annu_SCDPT2SN2'!$G$25</definedName>
    <definedName name="SCDPT2SN2_94ENDIN_6" localSheetId="1">'GMIC_2020-Annu_SCDPT2SN2'!$H$25</definedName>
    <definedName name="SCDPT2SN2_94ENDIN_7" localSheetId="1">'GMIC_2020-Annu_SCDPT2SN2'!$I$25</definedName>
    <definedName name="SCDPT2SN2_94ENDIN_8" localSheetId="1">'GMIC_2020-Annu_SCDPT2SN2'!$J$25</definedName>
    <definedName name="SCDPT2SN2_94ENDIN_9" localSheetId="1">'GMIC_2020-Annu_SCDPT2SN2'!$K$25</definedName>
    <definedName name="SCDPT2SN2_9500000_Range" localSheetId="1">'GMIC_2020-Annu_SCDPT2SN2'!$B$27:$AC$29</definedName>
    <definedName name="SCDPT2SN2_9599999_10" localSheetId="1">'GMIC_2020-Annu_SCDPT2SN2'!$L$30</definedName>
    <definedName name="SCDPT2SN2_9599999_11" localSheetId="1">'GMIC_2020-Annu_SCDPT2SN2'!$M$30</definedName>
    <definedName name="SCDPT2SN2_9599999_12" localSheetId="1">'GMIC_2020-Annu_SCDPT2SN2'!$N$30</definedName>
    <definedName name="SCDPT2SN2_9599999_13" localSheetId="1">'GMIC_2020-Annu_SCDPT2SN2'!$O$30</definedName>
    <definedName name="SCDPT2SN2_9599999_14" localSheetId="1">'GMIC_2020-Annu_SCDPT2SN2'!$P$30</definedName>
    <definedName name="SCDPT2SN2_9599999_15" localSheetId="1">'GMIC_2020-Annu_SCDPT2SN2'!$Q$30</definedName>
    <definedName name="SCDPT2SN2_9599999_16" localSheetId="1">'GMIC_2020-Annu_SCDPT2SN2'!$R$30</definedName>
    <definedName name="SCDPT2SN2_9599999_6" localSheetId="1">'GMIC_2020-Annu_SCDPT2SN2'!$H$30</definedName>
    <definedName name="SCDPT2SN2_9599999_8" localSheetId="1">'GMIC_2020-Annu_SCDPT2SN2'!$J$30</definedName>
    <definedName name="SCDPT2SN2_9599999_9" localSheetId="1">'GMIC_2020-Annu_SCDPT2SN2'!$K$30</definedName>
    <definedName name="SCDPT2SN2_95BEGIN_1" localSheetId="1">'GMIC_2020-Annu_SCDPT2SN2'!$C$27</definedName>
    <definedName name="SCDPT2SN2_95BEGIN_10" localSheetId="1">'GMIC_2020-Annu_SCDPT2SN2'!$L$27</definedName>
    <definedName name="SCDPT2SN2_95BEGIN_11" localSheetId="1">'GMIC_2020-Annu_SCDPT2SN2'!$M$27</definedName>
    <definedName name="SCDPT2SN2_95BEGIN_12" localSheetId="1">'GMIC_2020-Annu_SCDPT2SN2'!$N$27</definedName>
    <definedName name="SCDPT2SN2_95BEGIN_13" localSheetId="1">'GMIC_2020-Annu_SCDPT2SN2'!$O$27</definedName>
    <definedName name="SCDPT2SN2_95BEGIN_14" localSheetId="1">'GMIC_2020-Annu_SCDPT2SN2'!$P$27</definedName>
    <definedName name="SCDPT2SN2_95BEGIN_15" localSheetId="1">'GMIC_2020-Annu_SCDPT2SN2'!$Q$27</definedName>
    <definedName name="SCDPT2SN2_95BEGIN_16" localSheetId="1">'GMIC_2020-Annu_SCDPT2SN2'!$R$27</definedName>
    <definedName name="SCDPT2SN2_95BEGIN_17" localSheetId="1">'GMIC_2020-Annu_SCDPT2SN2'!$S$27</definedName>
    <definedName name="SCDPT2SN2_95BEGIN_18.01" localSheetId="1">'GMIC_2020-Annu_SCDPT2SN2'!$T$27</definedName>
    <definedName name="SCDPT2SN2_95BEGIN_18.02" localSheetId="1">'GMIC_2020-Annu_SCDPT2SN2'!$U$27</definedName>
    <definedName name="SCDPT2SN2_95BEGIN_18.03" localSheetId="1">'GMIC_2020-Annu_SCDPT2SN2'!$V$27</definedName>
    <definedName name="SCDPT2SN2_95BEGIN_19" localSheetId="1">'GMIC_2020-Annu_SCDPT2SN2'!$W$27</definedName>
    <definedName name="SCDPT2SN2_95BEGIN_2" localSheetId="1">'GMIC_2020-Annu_SCDPT2SN2'!$D$27</definedName>
    <definedName name="SCDPT2SN2_95BEGIN_20" localSheetId="1">'GMIC_2020-Annu_SCDPT2SN2'!$X$27</definedName>
    <definedName name="SCDPT2SN2_95BEGIN_21" localSheetId="1">'GMIC_2020-Annu_SCDPT2SN2'!$Y$27</definedName>
    <definedName name="SCDPT2SN2_95BEGIN_22" localSheetId="1">'GMIC_2020-Annu_SCDPT2SN2'!$Z$27</definedName>
    <definedName name="SCDPT2SN2_95BEGIN_23" localSheetId="1">'GMIC_2020-Annu_SCDPT2SN2'!$AA$27</definedName>
    <definedName name="SCDPT2SN2_95BEGIN_24" localSheetId="1">'GMIC_2020-Annu_SCDPT2SN2'!$AB$27</definedName>
    <definedName name="SCDPT2SN2_95BEGIN_25" localSheetId="1">'GMIC_2020-Annu_SCDPT2SN2'!$AC$27</definedName>
    <definedName name="SCDPT2SN2_95BEGIN_3" localSheetId="1">'GMIC_2020-Annu_SCDPT2SN2'!$E$27</definedName>
    <definedName name="SCDPT2SN2_95BEGIN_4" localSheetId="1">'GMIC_2020-Annu_SCDPT2SN2'!$F$27</definedName>
    <definedName name="SCDPT2SN2_95BEGIN_5" localSheetId="1">'GMIC_2020-Annu_SCDPT2SN2'!$G$27</definedName>
    <definedName name="SCDPT2SN2_95BEGIN_6" localSheetId="1">'GMIC_2020-Annu_SCDPT2SN2'!$H$27</definedName>
    <definedName name="SCDPT2SN2_95BEGIN_7" localSheetId="1">'GMIC_2020-Annu_SCDPT2SN2'!$I$27</definedName>
    <definedName name="SCDPT2SN2_95BEGIN_8" localSheetId="1">'GMIC_2020-Annu_SCDPT2SN2'!$J$27</definedName>
    <definedName name="SCDPT2SN2_95BEGIN_9" localSheetId="1">'GMIC_2020-Annu_SCDPT2SN2'!$K$27</definedName>
    <definedName name="SCDPT2SN2_95ENDIN_10" localSheetId="1">'GMIC_2020-Annu_SCDPT2SN2'!$L$29</definedName>
    <definedName name="SCDPT2SN2_95ENDIN_11" localSheetId="1">'GMIC_2020-Annu_SCDPT2SN2'!$M$29</definedName>
    <definedName name="SCDPT2SN2_95ENDIN_12" localSheetId="1">'GMIC_2020-Annu_SCDPT2SN2'!$N$29</definedName>
    <definedName name="SCDPT2SN2_95ENDIN_13" localSheetId="1">'GMIC_2020-Annu_SCDPT2SN2'!$O$29</definedName>
    <definedName name="SCDPT2SN2_95ENDIN_14" localSheetId="1">'GMIC_2020-Annu_SCDPT2SN2'!$P$29</definedName>
    <definedName name="SCDPT2SN2_95ENDIN_15" localSheetId="1">'GMIC_2020-Annu_SCDPT2SN2'!$Q$29</definedName>
    <definedName name="SCDPT2SN2_95ENDIN_16" localSheetId="1">'GMIC_2020-Annu_SCDPT2SN2'!$R$29</definedName>
    <definedName name="SCDPT2SN2_95ENDIN_17" localSheetId="1">'GMIC_2020-Annu_SCDPT2SN2'!$S$29</definedName>
    <definedName name="SCDPT2SN2_95ENDIN_18.01" localSheetId="1">'GMIC_2020-Annu_SCDPT2SN2'!$T$29</definedName>
    <definedName name="SCDPT2SN2_95ENDIN_18.02" localSheetId="1">'GMIC_2020-Annu_SCDPT2SN2'!$U$29</definedName>
    <definedName name="SCDPT2SN2_95ENDIN_18.03" localSheetId="1">'GMIC_2020-Annu_SCDPT2SN2'!$V$29</definedName>
    <definedName name="SCDPT2SN2_95ENDIN_19" localSheetId="1">'GMIC_2020-Annu_SCDPT2SN2'!$W$29</definedName>
    <definedName name="SCDPT2SN2_95ENDIN_2" localSheetId="1">'GMIC_2020-Annu_SCDPT2SN2'!$D$29</definedName>
    <definedName name="SCDPT2SN2_95ENDIN_20" localSheetId="1">'GMIC_2020-Annu_SCDPT2SN2'!$X$29</definedName>
    <definedName name="SCDPT2SN2_95ENDIN_21" localSheetId="1">'GMIC_2020-Annu_SCDPT2SN2'!$Y$29</definedName>
    <definedName name="SCDPT2SN2_95ENDIN_22" localSheetId="1">'GMIC_2020-Annu_SCDPT2SN2'!$Z$29</definedName>
    <definedName name="SCDPT2SN2_95ENDIN_23" localSheetId="1">'GMIC_2020-Annu_SCDPT2SN2'!$AA$29</definedName>
    <definedName name="SCDPT2SN2_95ENDIN_24" localSheetId="1">'GMIC_2020-Annu_SCDPT2SN2'!$AB$29</definedName>
    <definedName name="SCDPT2SN2_95ENDIN_25" localSheetId="1">'GMIC_2020-Annu_SCDPT2SN2'!$AC$29</definedName>
    <definedName name="SCDPT2SN2_95ENDIN_3" localSheetId="1">'GMIC_2020-Annu_SCDPT2SN2'!$E$29</definedName>
    <definedName name="SCDPT2SN2_95ENDIN_4" localSheetId="1">'GMIC_2020-Annu_SCDPT2SN2'!$F$29</definedName>
    <definedName name="SCDPT2SN2_95ENDIN_5" localSheetId="1">'GMIC_2020-Annu_SCDPT2SN2'!$G$29</definedName>
    <definedName name="SCDPT2SN2_95ENDIN_6" localSheetId="1">'GMIC_2020-Annu_SCDPT2SN2'!$H$29</definedName>
    <definedName name="SCDPT2SN2_95ENDIN_7" localSheetId="1">'GMIC_2020-Annu_SCDPT2SN2'!$I$29</definedName>
    <definedName name="SCDPT2SN2_95ENDIN_8" localSheetId="1">'GMIC_2020-Annu_SCDPT2SN2'!$J$29</definedName>
    <definedName name="SCDPT2SN2_95ENDIN_9" localSheetId="1">'GMIC_2020-Annu_SCDPT2SN2'!$K$29</definedName>
    <definedName name="SCDPT2SN2_9600000_Range" localSheetId="1">'GMIC_2020-Annu_SCDPT2SN2'!$B$31:$AC$33</definedName>
    <definedName name="SCDPT2SN2_9699999_10" localSheetId="1">'GMIC_2020-Annu_SCDPT2SN2'!$L$34</definedName>
    <definedName name="SCDPT2SN2_9699999_11" localSheetId="1">'GMIC_2020-Annu_SCDPT2SN2'!$M$34</definedName>
    <definedName name="SCDPT2SN2_9699999_12" localSheetId="1">'GMIC_2020-Annu_SCDPT2SN2'!$N$34</definedName>
    <definedName name="SCDPT2SN2_9699999_13" localSheetId="1">'GMIC_2020-Annu_SCDPT2SN2'!$O$34</definedName>
    <definedName name="SCDPT2SN2_9699999_14" localSheetId="1">'GMIC_2020-Annu_SCDPT2SN2'!$P$34</definedName>
    <definedName name="SCDPT2SN2_9699999_15" localSheetId="1">'GMIC_2020-Annu_SCDPT2SN2'!$Q$34</definedName>
    <definedName name="SCDPT2SN2_9699999_16" localSheetId="1">'GMIC_2020-Annu_SCDPT2SN2'!$R$34</definedName>
    <definedName name="SCDPT2SN2_9699999_6" localSheetId="1">'GMIC_2020-Annu_SCDPT2SN2'!$H$34</definedName>
    <definedName name="SCDPT2SN2_9699999_8" localSheetId="1">'GMIC_2020-Annu_SCDPT2SN2'!$J$34</definedName>
    <definedName name="SCDPT2SN2_9699999_9" localSheetId="1">'GMIC_2020-Annu_SCDPT2SN2'!$K$34</definedName>
    <definedName name="SCDPT2SN2_96BEGIN_1" localSheetId="1">'GMIC_2020-Annu_SCDPT2SN2'!$C$31</definedName>
    <definedName name="SCDPT2SN2_96BEGIN_10" localSheetId="1">'GMIC_2020-Annu_SCDPT2SN2'!$L$31</definedName>
    <definedName name="SCDPT2SN2_96BEGIN_11" localSheetId="1">'GMIC_2020-Annu_SCDPT2SN2'!$M$31</definedName>
    <definedName name="SCDPT2SN2_96BEGIN_12" localSheetId="1">'GMIC_2020-Annu_SCDPT2SN2'!$N$31</definedName>
    <definedName name="SCDPT2SN2_96BEGIN_13" localSheetId="1">'GMIC_2020-Annu_SCDPT2SN2'!$O$31</definedName>
    <definedName name="SCDPT2SN2_96BEGIN_14" localSheetId="1">'GMIC_2020-Annu_SCDPT2SN2'!$P$31</definedName>
    <definedName name="SCDPT2SN2_96BEGIN_15" localSheetId="1">'GMIC_2020-Annu_SCDPT2SN2'!$Q$31</definedName>
    <definedName name="SCDPT2SN2_96BEGIN_16" localSheetId="1">'GMIC_2020-Annu_SCDPT2SN2'!$R$31</definedName>
    <definedName name="SCDPT2SN2_96BEGIN_17" localSheetId="1">'GMIC_2020-Annu_SCDPT2SN2'!$S$31</definedName>
    <definedName name="SCDPT2SN2_96BEGIN_18.01" localSheetId="1">'GMIC_2020-Annu_SCDPT2SN2'!$T$31</definedName>
    <definedName name="SCDPT2SN2_96BEGIN_18.02" localSheetId="1">'GMIC_2020-Annu_SCDPT2SN2'!$U$31</definedName>
    <definedName name="SCDPT2SN2_96BEGIN_18.03" localSheetId="1">'GMIC_2020-Annu_SCDPT2SN2'!$V$31</definedName>
    <definedName name="SCDPT2SN2_96BEGIN_19" localSheetId="1">'GMIC_2020-Annu_SCDPT2SN2'!$W$31</definedName>
    <definedName name="SCDPT2SN2_96BEGIN_2" localSheetId="1">'GMIC_2020-Annu_SCDPT2SN2'!$D$31</definedName>
    <definedName name="SCDPT2SN2_96BEGIN_20" localSheetId="1">'GMIC_2020-Annu_SCDPT2SN2'!$X$31</definedName>
    <definedName name="SCDPT2SN2_96BEGIN_21" localSheetId="1">'GMIC_2020-Annu_SCDPT2SN2'!$Y$31</definedName>
    <definedName name="SCDPT2SN2_96BEGIN_22" localSheetId="1">'GMIC_2020-Annu_SCDPT2SN2'!$Z$31</definedName>
    <definedName name="SCDPT2SN2_96BEGIN_23" localSheetId="1">'GMIC_2020-Annu_SCDPT2SN2'!$AA$31</definedName>
    <definedName name="SCDPT2SN2_96BEGIN_24" localSheetId="1">'GMIC_2020-Annu_SCDPT2SN2'!$AB$31</definedName>
    <definedName name="SCDPT2SN2_96BEGIN_25" localSheetId="1">'GMIC_2020-Annu_SCDPT2SN2'!$AC$31</definedName>
    <definedName name="SCDPT2SN2_96BEGIN_3" localSheetId="1">'GMIC_2020-Annu_SCDPT2SN2'!$E$31</definedName>
    <definedName name="SCDPT2SN2_96BEGIN_4" localSheetId="1">'GMIC_2020-Annu_SCDPT2SN2'!$F$31</definedName>
    <definedName name="SCDPT2SN2_96BEGIN_5" localSheetId="1">'GMIC_2020-Annu_SCDPT2SN2'!$G$31</definedName>
    <definedName name="SCDPT2SN2_96BEGIN_6" localSheetId="1">'GMIC_2020-Annu_SCDPT2SN2'!$H$31</definedName>
    <definedName name="SCDPT2SN2_96BEGIN_7" localSheetId="1">'GMIC_2020-Annu_SCDPT2SN2'!$I$31</definedName>
    <definedName name="SCDPT2SN2_96BEGIN_8" localSheetId="1">'GMIC_2020-Annu_SCDPT2SN2'!$J$31</definedName>
    <definedName name="SCDPT2SN2_96BEGIN_9" localSheetId="1">'GMIC_2020-Annu_SCDPT2SN2'!$K$31</definedName>
    <definedName name="SCDPT2SN2_96ENDIN_10" localSheetId="1">'GMIC_2020-Annu_SCDPT2SN2'!$L$33</definedName>
    <definedName name="SCDPT2SN2_96ENDIN_11" localSheetId="1">'GMIC_2020-Annu_SCDPT2SN2'!$M$33</definedName>
    <definedName name="SCDPT2SN2_96ENDIN_12" localSheetId="1">'GMIC_2020-Annu_SCDPT2SN2'!$N$33</definedName>
    <definedName name="SCDPT2SN2_96ENDIN_13" localSheetId="1">'GMIC_2020-Annu_SCDPT2SN2'!$O$33</definedName>
    <definedName name="SCDPT2SN2_96ENDIN_14" localSheetId="1">'GMIC_2020-Annu_SCDPT2SN2'!$P$33</definedName>
    <definedName name="SCDPT2SN2_96ENDIN_15" localSheetId="1">'GMIC_2020-Annu_SCDPT2SN2'!$Q$33</definedName>
    <definedName name="SCDPT2SN2_96ENDIN_16" localSheetId="1">'GMIC_2020-Annu_SCDPT2SN2'!$R$33</definedName>
    <definedName name="SCDPT2SN2_96ENDIN_17" localSheetId="1">'GMIC_2020-Annu_SCDPT2SN2'!$S$33</definedName>
    <definedName name="SCDPT2SN2_96ENDIN_18.01" localSheetId="1">'GMIC_2020-Annu_SCDPT2SN2'!$T$33</definedName>
    <definedName name="SCDPT2SN2_96ENDIN_18.02" localSheetId="1">'GMIC_2020-Annu_SCDPT2SN2'!$U$33</definedName>
    <definedName name="SCDPT2SN2_96ENDIN_18.03" localSheetId="1">'GMIC_2020-Annu_SCDPT2SN2'!$V$33</definedName>
    <definedName name="SCDPT2SN2_96ENDIN_19" localSheetId="1">'GMIC_2020-Annu_SCDPT2SN2'!$W$33</definedName>
    <definedName name="SCDPT2SN2_96ENDIN_2" localSheetId="1">'GMIC_2020-Annu_SCDPT2SN2'!$D$33</definedName>
    <definedName name="SCDPT2SN2_96ENDIN_20" localSheetId="1">'GMIC_2020-Annu_SCDPT2SN2'!$X$33</definedName>
    <definedName name="SCDPT2SN2_96ENDIN_21" localSheetId="1">'GMIC_2020-Annu_SCDPT2SN2'!$Y$33</definedName>
    <definedName name="SCDPT2SN2_96ENDIN_22" localSheetId="1">'GMIC_2020-Annu_SCDPT2SN2'!$Z$33</definedName>
    <definedName name="SCDPT2SN2_96ENDIN_23" localSheetId="1">'GMIC_2020-Annu_SCDPT2SN2'!$AA$33</definedName>
    <definedName name="SCDPT2SN2_96ENDIN_24" localSheetId="1">'GMIC_2020-Annu_SCDPT2SN2'!$AB$33</definedName>
    <definedName name="SCDPT2SN2_96ENDIN_25" localSheetId="1">'GMIC_2020-Annu_SCDPT2SN2'!$AC$33</definedName>
    <definedName name="SCDPT2SN2_96ENDIN_3" localSheetId="1">'GMIC_2020-Annu_SCDPT2SN2'!$E$33</definedName>
    <definedName name="SCDPT2SN2_96ENDIN_4" localSheetId="1">'GMIC_2020-Annu_SCDPT2SN2'!$F$33</definedName>
    <definedName name="SCDPT2SN2_96ENDIN_5" localSheetId="1">'GMIC_2020-Annu_SCDPT2SN2'!$G$33</definedName>
    <definedName name="SCDPT2SN2_96ENDIN_6" localSheetId="1">'GMIC_2020-Annu_SCDPT2SN2'!$H$33</definedName>
    <definedName name="SCDPT2SN2_96ENDIN_7" localSheetId="1">'GMIC_2020-Annu_SCDPT2SN2'!$I$33</definedName>
    <definedName name="SCDPT2SN2_96ENDIN_8" localSheetId="1">'GMIC_2020-Annu_SCDPT2SN2'!$J$33</definedName>
    <definedName name="SCDPT2SN2_96ENDIN_9" localSheetId="1">'GMIC_2020-Annu_SCDPT2SN2'!$K$33</definedName>
    <definedName name="SCDPT2SN2_9799999_10" localSheetId="1">'GMIC_2020-Annu_SCDPT2SN2'!$L$35</definedName>
    <definedName name="SCDPT2SN2_9799999_11" localSheetId="1">'GMIC_2020-Annu_SCDPT2SN2'!$M$35</definedName>
    <definedName name="SCDPT2SN2_9799999_12" localSheetId="1">'GMIC_2020-Annu_SCDPT2SN2'!$N$35</definedName>
    <definedName name="SCDPT2SN2_9799999_13" localSheetId="1">'GMIC_2020-Annu_SCDPT2SN2'!$O$35</definedName>
    <definedName name="SCDPT2SN2_9799999_14" localSheetId="1">'GMIC_2020-Annu_SCDPT2SN2'!$P$35</definedName>
    <definedName name="SCDPT2SN2_9799999_15" localSheetId="1">'GMIC_2020-Annu_SCDPT2SN2'!$Q$35</definedName>
    <definedName name="SCDPT2SN2_9799999_16" localSheetId="1">'GMIC_2020-Annu_SCDPT2SN2'!$R$35</definedName>
    <definedName name="SCDPT2SN2_9799999_6" localSheetId="1">'GMIC_2020-Annu_SCDPT2SN2'!$H$35</definedName>
    <definedName name="SCDPT2SN2_9799999_8" localSheetId="1">'GMIC_2020-Annu_SCDPT2SN2'!$J$35</definedName>
    <definedName name="SCDPT2SN2_9799999_9" localSheetId="1">'GMIC_2020-Annu_SCDPT2SN2'!$K$35</definedName>
    <definedName name="SCDPT2SN2_9899999_10" localSheetId="1">'GMIC_2020-Annu_SCDPT2SN2'!$L$36</definedName>
    <definedName name="SCDPT2SN2_9899999_11" localSheetId="1">'GMIC_2020-Annu_SCDPT2SN2'!$M$36</definedName>
    <definedName name="SCDPT2SN2_9899999_12" localSheetId="1">'GMIC_2020-Annu_SCDPT2SN2'!$N$36</definedName>
    <definedName name="SCDPT2SN2_9899999_13" localSheetId="1">'GMIC_2020-Annu_SCDPT2SN2'!$O$36</definedName>
    <definedName name="SCDPT2SN2_9899999_14" localSheetId="1">'GMIC_2020-Annu_SCDPT2SN2'!$P$36</definedName>
    <definedName name="SCDPT2SN2_9899999_15" localSheetId="1">'GMIC_2020-Annu_SCDPT2SN2'!$Q$36</definedName>
    <definedName name="SCDPT2SN2_9899999_16" localSheetId="1">'GMIC_2020-Annu_SCDPT2SN2'!$R$36</definedName>
    <definedName name="SCDPT2SN2_9899999_6" localSheetId="1">'GMIC_2020-Annu_SCDPT2SN2'!$H$36</definedName>
    <definedName name="SCDPT2SN2_9899999_8" localSheetId="1">'GMIC_2020-Annu_SCDPT2SN2'!$J$36</definedName>
    <definedName name="SCDPT2SN2_9899999_9" localSheetId="1">'GMIC_2020-Annu_SCDPT2SN2'!$K$36</definedName>
    <definedName name="SCDPT3_0500000_Range" localSheetId="2">'GMIC_2020-Annu_SCDPT3'!$B$7:$P$9</definedName>
    <definedName name="SCDPT3_0500001_1" localSheetId="2">'GMIC_2020-Annu_SCDPT3'!$C$8</definedName>
    <definedName name="SCDPT3_0500001_11" localSheetId="2">'GMIC_2020-Annu_SCDPT3'!$M$8</definedName>
    <definedName name="SCDPT3_0500001_12" localSheetId="2">'GMIC_2020-Annu_SCDPT3'!$N$8</definedName>
    <definedName name="SCDPT3_0500001_13" localSheetId="2">'GMIC_2020-Annu_SCDPT3'!$O$8</definedName>
    <definedName name="SCDPT3_0500001_14" localSheetId="2">'GMIC_2020-Annu_SCDPT3'!$P$8</definedName>
    <definedName name="SCDPT3_0500001_2" localSheetId="2">'GMIC_2020-Annu_SCDPT3'!$D$8</definedName>
    <definedName name="SCDPT3_0500001_3" localSheetId="2">'GMIC_2020-Annu_SCDPT3'!$E$8</definedName>
    <definedName name="SCDPT3_0500001_4" localSheetId="2">'GMIC_2020-Annu_SCDPT3'!$F$8</definedName>
    <definedName name="SCDPT3_0500001_5" localSheetId="2">'GMIC_2020-Annu_SCDPT3'!$G$8</definedName>
    <definedName name="SCDPT3_0500001_7" localSheetId="2">'GMIC_2020-Annu_SCDPT3'!$I$8</definedName>
    <definedName name="SCDPT3_0500001_8" localSheetId="2">'GMIC_2020-Annu_SCDPT3'!$J$8</definedName>
    <definedName name="SCDPT3_0500001_9" localSheetId="2">'GMIC_2020-Annu_SCDPT3'!$K$8</definedName>
    <definedName name="SCDPT3_0599999_7" localSheetId="2">'GMIC_2020-Annu_SCDPT3'!$I$10</definedName>
    <definedName name="SCDPT3_0599999_8" localSheetId="2">'GMIC_2020-Annu_SCDPT3'!$J$10</definedName>
    <definedName name="SCDPT3_0599999_9" localSheetId="2">'GMIC_2020-Annu_SCDPT3'!$K$10</definedName>
    <definedName name="SCDPT3_05BEGIN_1" localSheetId="2">'GMIC_2020-Annu_SCDPT3'!$C$7</definedName>
    <definedName name="SCDPT3_05BEGIN_10" localSheetId="2">'GMIC_2020-Annu_SCDPT3'!$L$7</definedName>
    <definedName name="SCDPT3_05BEGIN_11" localSheetId="2">'GMIC_2020-Annu_SCDPT3'!$M$7</definedName>
    <definedName name="SCDPT3_05BEGIN_12" localSheetId="2">'GMIC_2020-Annu_SCDPT3'!$N$7</definedName>
    <definedName name="SCDPT3_05BEGIN_13" localSheetId="2">'GMIC_2020-Annu_SCDPT3'!$O$7</definedName>
    <definedName name="SCDPT3_05BEGIN_14" localSheetId="2">'GMIC_2020-Annu_SCDPT3'!$P$7</definedName>
    <definedName name="SCDPT3_05BEGIN_2" localSheetId="2">'GMIC_2020-Annu_SCDPT3'!$D$7</definedName>
    <definedName name="SCDPT3_05BEGIN_3" localSheetId="2">'GMIC_2020-Annu_SCDPT3'!$E$7</definedName>
    <definedName name="SCDPT3_05BEGIN_4" localSheetId="2">'GMIC_2020-Annu_SCDPT3'!$F$7</definedName>
    <definedName name="SCDPT3_05BEGIN_5" localSheetId="2">'GMIC_2020-Annu_SCDPT3'!$G$7</definedName>
    <definedName name="SCDPT3_05BEGIN_6" localSheetId="2">'GMIC_2020-Annu_SCDPT3'!$H$7</definedName>
    <definedName name="SCDPT3_05BEGIN_7" localSheetId="2">'GMIC_2020-Annu_SCDPT3'!$I$7</definedName>
    <definedName name="SCDPT3_05BEGIN_8" localSheetId="2">'GMIC_2020-Annu_SCDPT3'!$J$7</definedName>
    <definedName name="SCDPT3_05BEGIN_9" localSheetId="2">'GMIC_2020-Annu_SCDPT3'!$K$7</definedName>
    <definedName name="SCDPT3_05ENDIN_10" localSheetId="2">'GMIC_2020-Annu_SCDPT3'!$L$9</definedName>
    <definedName name="SCDPT3_05ENDIN_11" localSheetId="2">'GMIC_2020-Annu_SCDPT3'!$M$9</definedName>
    <definedName name="SCDPT3_05ENDIN_12" localSheetId="2">'GMIC_2020-Annu_SCDPT3'!$N$9</definedName>
    <definedName name="SCDPT3_05ENDIN_13" localSheetId="2">'GMIC_2020-Annu_SCDPT3'!$O$9</definedName>
    <definedName name="SCDPT3_05ENDIN_14" localSheetId="2">'GMIC_2020-Annu_SCDPT3'!$P$9</definedName>
    <definedName name="SCDPT3_05ENDIN_2" localSheetId="2">'GMIC_2020-Annu_SCDPT3'!$D$9</definedName>
    <definedName name="SCDPT3_05ENDIN_3" localSheetId="2">'GMIC_2020-Annu_SCDPT3'!$E$9</definedName>
    <definedName name="SCDPT3_05ENDIN_4" localSheetId="2">'GMIC_2020-Annu_SCDPT3'!$F$9</definedName>
    <definedName name="SCDPT3_05ENDIN_5" localSheetId="2">'GMIC_2020-Annu_SCDPT3'!$G$9</definedName>
    <definedName name="SCDPT3_05ENDIN_6" localSheetId="2">'GMIC_2020-Annu_SCDPT3'!$H$9</definedName>
    <definedName name="SCDPT3_05ENDIN_7" localSheetId="2">'GMIC_2020-Annu_SCDPT3'!$I$9</definedName>
    <definedName name="SCDPT3_05ENDIN_8" localSheetId="2">'GMIC_2020-Annu_SCDPT3'!$J$9</definedName>
    <definedName name="SCDPT3_05ENDIN_9" localSheetId="2">'GMIC_2020-Annu_SCDPT3'!$K$9</definedName>
    <definedName name="SCDPT3_1000000_Range" localSheetId="2">'GMIC_2020-Annu_SCDPT3'!$B$11:$P$13</definedName>
    <definedName name="SCDPT3_1099999_7" localSheetId="2">'GMIC_2020-Annu_SCDPT3'!$I$14</definedName>
    <definedName name="SCDPT3_1099999_8" localSheetId="2">'GMIC_2020-Annu_SCDPT3'!$J$14</definedName>
    <definedName name="SCDPT3_1099999_9" localSheetId="2">'GMIC_2020-Annu_SCDPT3'!$K$14</definedName>
    <definedName name="SCDPT3_10BEGIN_1" localSheetId="2">'GMIC_2020-Annu_SCDPT3'!$C$11</definedName>
    <definedName name="SCDPT3_10BEGIN_10" localSheetId="2">'GMIC_2020-Annu_SCDPT3'!$L$11</definedName>
    <definedName name="SCDPT3_10BEGIN_11" localSheetId="2">'GMIC_2020-Annu_SCDPT3'!$M$11</definedName>
    <definedName name="SCDPT3_10BEGIN_12" localSheetId="2">'GMIC_2020-Annu_SCDPT3'!$N$11</definedName>
    <definedName name="SCDPT3_10BEGIN_13" localSheetId="2">'GMIC_2020-Annu_SCDPT3'!$O$11</definedName>
    <definedName name="SCDPT3_10BEGIN_14" localSheetId="2">'GMIC_2020-Annu_SCDPT3'!$P$11</definedName>
    <definedName name="SCDPT3_10BEGIN_2" localSheetId="2">'GMIC_2020-Annu_SCDPT3'!$D$11</definedName>
    <definedName name="SCDPT3_10BEGIN_3" localSheetId="2">'GMIC_2020-Annu_SCDPT3'!$E$11</definedName>
    <definedName name="SCDPT3_10BEGIN_4" localSheetId="2">'GMIC_2020-Annu_SCDPT3'!$F$11</definedName>
    <definedName name="SCDPT3_10BEGIN_5" localSheetId="2">'GMIC_2020-Annu_SCDPT3'!$G$11</definedName>
    <definedName name="SCDPT3_10BEGIN_6" localSheetId="2">'GMIC_2020-Annu_SCDPT3'!$H$11</definedName>
    <definedName name="SCDPT3_10BEGIN_7" localSheetId="2">'GMIC_2020-Annu_SCDPT3'!$I$11</definedName>
    <definedName name="SCDPT3_10BEGIN_8" localSheetId="2">'GMIC_2020-Annu_SCDPT3'!$J$11</definedName>
    <definedName name="SCDPT3_10BEGIN_9" localSheetId="2">'GMIC_2020-Annu_SCDPT3'!$K$11</definedName>
    <definedName name="SCDPT3_10ENDIN_10" localSheetId="2">'GMIC_2020-Annu_SCDPT3'!$L$13</definedName>
    <definedName name="SCDPT3_10ENDIN_11" localSheetId="2">'GMIC_2020-Annu_SCDPT3'!$M$13</definedName>
    <definedName name="SCDPT3_10ENDIN_12" localSheetId="2">'GMIC_2020-Annu_SCDPT3'!$N$13</definedName>
    <definedName name="SCDPT3_10ENDIN_13" localSheetId="2">'GMIC_2020-Annu_SCDPT3'!$O$13</definedName>
    <definedName name="SCDPT3_10ENDIN_14" localSheetId="2">'GMIC_2020-Annu_SCDPT3'!$P$13</definedName>
    <definedName name="SCDPT3_10ENDIN_2" localSheetId="2">'GMIC_2020-Annu_SCDPT3'!$D$13</definedName>
    <definedName name="SCDPT3_10ENDIN_3" localSheetId="2">'GMIC_2020-Annu_SCDPT3'!$E$13</definedName>
    <definedName name="SCDPT3_10ENDIN_4" localSheetId="2">'GMIC_2020-Annu_SCDPT3'!$F$13</definedName>
    <definedName name="SCDPT3_10ENDIN_5" localSheetId="2">'GMIC_2020-Annu_SCDPT3'!$G$13</definedName>
    <definedName name="SCDPT3_10ENDIN_6" localSheetId="2">'GMIC_2020-Annu_SCDPT3'!$H$13</definedName>
    <definedName name="SCDPT3_10ENDIN_7" localSheetId="2">'GMIC_2020-Annu_SCDPT3'!$I$13</definedName>
    <definedName name="SCDPT3_10ENDIN_8" localSheetId="2">'GMIC_2020-Annu_SCDPT3'!$J$13</definedName>
    <definedName name="SCDPT3_10ENDIN_9" localSheetId="2">'GMIC_2020-Annu_SCDPT3'!$K$13</definedName>
    <definedName name="SCDPT3_1700000_Range" localSheetId="2">'GMIC_2020-Annu_SCDPT3'!$B$15:$P$20</definedName>
    <definedName name="SCDPT3_1700001_1" localSheetId="2">'GMIC_2020-Annu_SCDPT3'!$C$16</definedName>
    <definedName name="SCDPT3_1700001_10" localSheetId="2">'GMIC_2020-Annu_SCDPT3'!$L$16</definedName>
    <definedName name="SCDPT3_1700001_11" localSheetId="2">'GMIC_2020-Annu_SCDPT3'!$M$16</definedName>
    <definedName name="SCDPT3_1700001_12" localSheetId="2">'GMIC_2020-Annu_SCDPT3'!$N$16</definedName>
    <definedName name="SCDPT3_1700001_13" localSheetId="2">'GMIC_2020-Annu_SCDPT3'!$O$16</definedName>
    <definedName name="SCDPT3_1700001_14" localSheetId="2">'GMIC_2020-Annu_SCDPT3'!$P$16</definedName>
    <definedName name="SCDPT3_1700001_2" localSheetId="2">'GMIC_2020-Annu_SCDPT3'!$D$16</definedName>
    <definedName name="SCDPT3_1700001_3" localSheetId="2">'GMIC_2020-Annu_SCDPT3'!$E$16</definedName>
    <definedName name="SCDPT3_1700001_4" localSheetId="2">'GMIC_2020-Annu_SCDPT3'!$F$16</definedName>
    <definedName name="SCDPT3_1700001_5" localSheetId="2">'GMIC_2020-Annu_SCDPT3'!$G$16</definedName>
    <definedName name="SCDPT3_1700001_7" localSheetId="2">'GMIC_2020-Annu_SCDPT3'!$I$16</definedName>
    <definedName name="SCDPT3_1700001_8" localSheetId="2">'GMIC_2020-Annu_SCDPT3'!$J$16</definedName>
    <definedName name="SCDPT3_1700001_9" localSheetId="2">'GMIC_2020-Annu_SCDPT3'!$K$16</definedName>
    <definedName name="SCDPT3_1799999_7" localSheetId="2">'GMIC_2020-Annu_SCDPT3'!$I$21</definedName>
    <definedName name="SCDPT3_1799999_8" localSheetId="2">'GMIC_2020-Annu_SCDPT3'!$J$21</definedName>
    <definedName name="SCDPT3_1799999_9" localSheetId="2">'GMIC_2020-Annu_SCDPT3'!$K$21</definedName>
    <definedName name="SCDPT3_17BEGIN_1" localSheetId="2">'GMIC_2020-Annu_SCDPT3'!$C$15</definedName>
    <definedName name="SCDPT3_17BEGIN_10" localSheetId="2">'GMIC_2020-Annu_SCDPT3'!$L$15</definedName>
    <definedName name="SCDPT3_17BEGIN_11" localSheetId="2">'GMIC_2020-Annu_SCDPT3'!$M$15</definedName>
    <definedName name="SCDPT3_17BEGIN_12" localSheetId="2">'GMIC_2020-Annu_SCDPT3'!$N$15</definedName>
    <definedName name="SCDPT3_17BEGIN_13" localSheetId="2">'GMIC_2020-Annu_SCDPT3'!$O$15</definedName>
    <definedName name="SCDPT3_17BEGIN_14" localSheetId="2">'GMIC_2020-Annu_SCDPT3'!$P$15</definedName>
    <definedName name="SCDPT3_17BEGIN_2" localSheetId="2">'GMIC_2020-Annu_SCDPT3'!$D$15</definedName>
    <definedName name="SCDPT3_17BEGIN_3" localSheetId="2">'GMIC_2020-Annu_SCDPT3'!$E$15</definedName>
    <definedName name="SCDPT3_17BEGIN_4" localSheetId="2">'GMIC_2020-Annu_SCDPT3'!$F$15</definedName>
    <definedName name="SCDPT3_17BEGIN_5" localSheetId="2">'GMIC_2020-Annu_SCDPT3'!$G$15</definedName>
    <definedName name="SCDPT3_17BEGIN_6" localSheetId="2">'GMIC_2020-Annu_SCDPT3'!$H$15</definedName>
    <definedName name="SCDPT3_17BEGIN_7" localSheetId="2">'GMIC_2020-Annu_SCDPT3'!$I$15</definedName>
    <definedName name="SCDPT3_17BEGIN_8" localSheetId="2">'GMIC_2020-Annu_SCDPT3'!$J$15</definedName>
    <definedName name="SCDPT3_17BEGIN_9" localSheetId="2">'GMIC_2020-Annu_SCDPT3'!$K$15</definedName>
    <definedName name="SCDPT3_17ENDIN_10" localSheetId="2">'GMIC_2020-Annu_SCDPT3'!$L$20</definedName>
    <definedName name="SCDPT3_17ENDIN_11" localSheetId="2">'GMIC_2020-Annu_SCDPT3'!$M$20</definedName>
    <definedName name="SCDPT3_17ENDIN_12" localSheetId="2">'GMIC_2020-Annu_SCDPT3'!$N$20</definedName>
    <definedName name="SCDPT3_17ENDIN_13" localSheetId="2">'GMIC_2020-Annu_SCDPT3'!$O$20</definedName>
    <definedName name="SCDPT3_17ENDIN_14" localSheetId="2">'GMIC_2020-Annu_SCDPT3'!$P$20</definedName>
    <definedName name="SCDPT3_17ENDIN_2" localSheetId="2">'GMIC_2020-Annu_SCDPT3'!$D$20</definedName>
    <definedName name="SCDPT3_17ENDIN_3" localSheetId="2">'GMIC_2020-Annu_SCDPT3'!$E$20</definedName>
    <definedName name="SCDPT3_17ENDIN_4" localSheetId="2">'GMIC_2020-Annu_SCDPT3'!$F$20</definedName>
    <definedName name="SCDPT3_17ENDIN_5" localSheetId="2">'GMIC_2020-Annu_SCDPT3'!$G$20</definedName>
    <definedName name="SCDPT3_17ENDIN_6" localSheetId="2">'GMIC_2020-Annu_SCDPT3'!$H$20</definedName>
    <definedName name="SCDPT3_17ENDIN_7" localSheetId="2">'GMIC_2020-Annu_SCDPT3'!$I$20</definedName>
    <definedName name="SCDPT3_17ENDIN_8" localSheetId="2">'GMIC_2020-Annu_SCDPT3'!$J$20</definedName>
    <definedName name="SCDPT3_17ENDIN_9" localSheetId="2">'GMIC_2020-Annu_SCDPT3'!$K$20</definedName>
    <definedName name="SCDPT3_2400000_Range" localSheetId="2">'GMIC_2020-Annu_SCDPT3'!$B$22:$P$24</definedName>
    <definedName name="SCDPT3_2499999_7" localSheetId="2">'GMIC_2020-Annu_SCDPT3'!$I$25</definedName>
    <definedName name="SCDPT3_2499999_8" localSheetId="2">'GMIC_2020-Annu_SCDPT3'!$J$25</definedName>
    <definedName name="SCDPT3_2499999_9" localSheetId="2">'GMIC_2020-Annu_SCDPT3'!$K$25</definedName>
    <definedName name="SCDPT3_24BEGIN_1" localSheetId="2">'GMIC_2020-Annu_SCDPT3'!$C$22</definedName>
    <definedName name="SCDPT3_24BEGIN_10" localSheetId="2">'GMIC_2020-Annu_SCDPT3'!$L$22</definedName>
    <definedName name="SCDPT3_24BEGIN_11" localSheetId="2">'GMIC_2020-Annu_SCDPT3'!$M$22</definedName>
    <definedName name="SCDPT3_24BEGIN_12" localSheetId="2">'GMIC_2020-Annu_SCDPT3'!$N$22</definedName>
    <definedName name="SCDPT3_24BEGIN_13" localSheetId="2">'GMIC_2020-Annu_SCDPT3'!$O$22</definedName>
    <definedName name="SCDPT3_24BEGIN_14" localSheetId="2">'GMIC_2020-Annu_SCDPT3'!$P$22</definedName>
    <definedName name="SCDPT3_24BEGIN_2" localSheetId="2">'GMIC_2020-Annu_SCDPT3'!$D$22</definedName>
    <definedName name="SCDPT3_24BEGIN_3" localSheetId="2">'GMIC_2020-Annu_SCDPT3'!$E$22</definedName>
    <definedName name="SCDPT3_24BEGIN_4" localSheetId="2">'GMIC_2020-Annu_SCDPT3'!$F$22</definedName>
    <definedName name="SCDPT3_24BEGIN_5" localSheetId="2">'GMIC_2020-Annu_SCDPT3'!$G$22</definedName>
    <definedName name="SCDPT3_24BEGIN_6" localSheetId="2">'GMIC_2020-Annu_SCDPT3'!$H$22</definedName>
    <definedName name="SCDPT3_24BEGIN_7" localSheetId="2">'GMIC_2020-Annu_SCDPT3'!$I$22</definedName>
    <definedName name="SCDPT3_24BEGIN_8" localSheetId="2">'GMIC_2020-Annu_SCDPT3'!$J$22</definedName>
    <definedName name="SCDPT3_24BEGIN_9" localSheetId="2">'GMIC_2020-Annu_SCDPT3'!$K$22</definedName>
    <definedName name="SCDPT3_24ENDIN_10" localSheetId="2">'GMIC_2020-Annu_SCDPT3'!$L$24</definedName>
    <definedName name="SCDPT3_24ENDIN_11" localSheetId="2">'GMIC_2020-Annu_SCDPT3'!$M$24</definedName>
    <definedName name="SCDPT3_24ENDIN_12" localSheetId="2">'GMIC_2020-Annu_SCDPT3'!$N$24</definedName>
    <definedName name="SCDPT3_24ENDIN_13" localSheetId="2">'GMIC_2020-Annu_SCDPT3'!$O$24</definedName>
    <definedName name="SCDPT3_24ENDIN_14" localSheetId="2">'GMIC_2020-Annu_SCDPT3'!$P$24</definedName>
    <definedName name="SCDPT3_24ENDIN_2" localSheetId="2">'GMIC_2020-Annu_SCDPT3'!$D$24</definedName>
    <definedName name="SCDPT3_24ENDIN_3" localSheetId="2">'GMIC_2020-Annu_SCDPT3'!$E$24</definedName>
    <definedName name="SCDPT3_24ENDIN_4" localSheetId="2">'GMIC_2020-Annu_SCDPT3'!$F$24</definedName>
    <definedName name="SCDPT3_24ENDIN_5" localSheetId="2">'GMIC_2020-Annu_SCDPT3'!$G$24</definedName>
    <definedName name="SCDPT3_24ENDIN_6" localSheetId="2">'GMIC_2020-Annu_SCDPT3'!$H$24</definedName>
    <definedName name="SCDPT3_24ENDIN_7" localSheetId="2">'GMIC_2020-Annu_SCDPT3'!$I$24</definedName>
    <definedName name="SCDPT3_24ENDIN_8" localSheetId="2">'GMIC_2020-Annu_SCDPT3'!$J$24</definedName>
    <definedName name="SCDPT3_24ENDIN_9" localSheetId="2">'GMIC_2020-Annu_SCDPT3'!$K$24</definedName>
    <definedName name="SCDPT3_3100000_Range" localSheetId="2">'GMIC_2020-Annu_SCDPT3'!$B$26:$P$58</definedName>
    <definedName name="SCDPT3_3100001_1" localSheetId="2">'GMIC_2020-Annu_SCDPT3'!$C$27</definedName>
    <definedName name="SCDPT3_3100001_10" localSheetId="2">'GMIC_2020-Annu_SCDPT3'!$L$27</definedName>
    <definedName name="SCDPT3_3100001_11" localSheetId="2">'GMIC_2020-Annu_SCDPT3'!$M$27</definedName>
    <definedName name="SCDPT3_3100001_12" localSheetId="2">'GMIC_2020-Annu_SCDPT3'!$N$27</definedName>
    <definedName name="SCDPT3_3100001_13" localSheetId="2">'GMIC_2020-Annu_SCDPT3'!$O$27</definedName>
    <definedName name="SCDPT3_3100001_14" localSheetId="2">'GMIC_2020-Annu_SCDPT3'!$P$27</definedName>
    <definedName name="SCDPT3_3100001_2" localSheetId="2">'GMIC_2020-Annu_SCDPT3'!$D$27</definedName>
    <definedName name="SCDPT3_3100001_3" localSheetId="2">'GMIC_2020-Annu_SCDPT3'!$E$27</definedName>
    <definedName name="SCDPT3_3100001_4" localSheetId="2">'GMIC_2020-Annu_SCDPT3'!$F$27</definedName>
    <definedName name="SCDPT3_3100001_5" localSheetId="2">'GMIC_2020-Annu_SCDPT3'!$G$27</definedName>
    <definedName name="SCDPT3_3100001_7" localSheetId="2">'GMIC_2020-Annu_SCDPT3'!$I$27</definedName>
    <definedName name="SCDPT3_3100001_8" localSheetId="2">'GMIC_2020-Annu_SCDPT3'!$J$27</definedName>
    <definedName name="SCDPT3_3100001_9" localSheetId="2">'GMIC_2020-Annu_SCDPT3'!$K$27</definedName>
    <definedName name="SCDPT3_3199999_7" localSheetId="2">'GMIC_2020-Annu_SCDPT3'!$I$59</definedName>
    <definedName name="SCDPT3_3199999_8" localSheetId="2">'GMIC_2020-Annu_SCDPT3'!$J$59</definedName>
    <definedName name="SCDPT3_3199999_9" localSheetId="2">'GMIC_2020-Annu_SCDPT3'!$K$59</definedName>
    <definedName name="SCDPT3_31BEGIN_1" localSheetId="2">'GMIC_2020-Annu_SCDPT3'!$C$26</definedName>
    <definedName name="SCDPT3_31BEGIN_10" localSheetId="2">'GMIC_2020-Annu_SCDPT3'!$L$26</definedName>
    <definedName name="SCDPT3_31BEGIN_11" localSheetId="2">'GMIC_2020-Annu_SCDPT3'!$M$26</definedName>
    <definedName name="SCDPT3_31BEGIN_12" localSheetId="2">'GMIC_2020-Annu_SCDPT3'!$N$26</definedName>
    <definedName name="SCDPT3_31BEGIN_13" localSheetId="2">'GMIC_2020-Annu_SCDPT3'!$O$26</definedName>
    <definedName name="SCDPT3_31BEGIN_14" localSheetId="2">'GMIC_2020-Annu_SCDPT3'!$P$26</definedName>
    <definedName name="SCDPT3_31BEGIN_2" localSheetId="2">'GMIC_2020-Annu_SCDPT3'!$D$26</definedName>
    <definedName name="SCDPT3_31BEGIN_3" localSheetId="2">'GMIC_2020-Annu_SCDPT3'!$E$26</definedName>
    <definedName name="SCDPT3_31BEGIN_4" localSheetId="2">'GMIC_2020-Annu_SCDPT3'!$F$26</definedName>
    <definedName name="SCDPT3_31BEGIN_5" localSheetId="2">'GMIC_2020-Annu_SCDPT3'!$G$26</definedName>
    <definedName name="SCDPT3_31BEGIN_6" localSheetId="2">'GMIC_2020-Annu_SCDPT3'!$H$26</definedName>
    <definedName name="SCDPT3_31BEGIN_7" localSheetId="2">'GMIC_2020-Annu_SCDPT3'!$I$26</definedName>
    <definedName name="SCDPT3_31BEGIN_8" localSheetId="2">'GMIC_2020-Annu_SCDPT3'!$J$26</definedName>
    <definedName name="SCDPT3_31BEGIN_9" localSheetId="2">'GMIC_2020-Annu_SCDPT3'!$K$26</definedName>
    <definedName name="SCDPT3_31ENDIN_10" localSheetId="2">'GMIC_2020-Annu_SCDPT3'!$L$58</definedName>
    <definedName name="SCDPT3_31ENDIN_11" localSheetId="2">'GMIC_2020-Annu_SCDPT3'!$M$58</definedName>
    <definedName name="SCDPT3_31ENDIN_12" localSheetId="2">'GMIC_2020-Annu_SCDPT3'!$N$58</definedName>
    <definedName name="SCDPT3_31ENDIN_13" localSheetId="2">'GMIC_2020-Annu_SCDPT3'!$O$58</definedName>
    <definedName name="SCDPT3_31ENDIN_14" localSheetId="2">'GMIC_2020-Annu_SCDPT3'!$P$58</definedName>
    <definedName name="SCDPT3_31ENDIN_2" localSheetId="2">'GMIC_2020-Annu_SCDPT3'!$D$58</definedName>
    <definedName name="SCDPT3_31ENDIN_3" localSheetId="2">'GMIC_2020-Annu_SCDPT3'!$E$58</definedName>
    <definedName name="SCDPT3_31ENDIN_4" localSheetId="2">'GMIC_2020-Annu_SCDPT3'!$F$58</definedName>
    <definedName name="SCDPT3_31ENDIN_5" localSheetId="2">'GMIC_2020-Annu_SCDPT3'!$G$58</definedName>
    <definedName name="SCDPT3_31ENDIN_6" localSheetId="2">'GMIC_2020-Annu_SCDPT3'!$H$58</definedName>
    <definedName name="SCDPT3_31ENDIN_7" localSheetId="2">'GMIC_2020-Annu_SCDPT3'!$I$58</definedName>
    <definedName name="SCDPT3_31ENDIN_8" localSheetId="2">'GMIC_2020-Annu_SCDPT3'!$J$58</definedName>
    <definedName name="SCDPT3_31ENDIN_9" localSheetId="2">'GMIC_2020-Annu_SCDPT3'!$K$58</definedName>
    <definedName name="SCDPT3_3800000_Range" localSheetId="2">'GMIC_2020-Annu_SCDPT3'!$B$60:$P$344</definedName>
    <definedName name="SCDPT3_3800001_1" localSheetId="2">'GMIC_2020-Annu_SCDPT3'!$C$61</definedName>
    <definedName name="SCDPT3_3800001_11" localSheetId="2">'GMIC_2020-Annu_SCDPT3'!$M$61</definedName>
    <definedName name="SCDPT3_3800001_12" localSheetId="2">'GMIC_2020-Annu_SCDPT3'!$N$61</definedName>
    <definedName name="SCDPT3_3800001_13" localSheetId="2">'GMIC_2020-Annu_SCDPT3'!$O$61</definedName>
    <definedName name="SCDPT3_3800001_14" localSheetId="2">'GMIC_2020-Annu_SCDPT3'!$P$61</definedName>
    <definedName name="SCDPT3_3800001_2" localSheetId="2">'GMIC_2020-Annu_SCDPT3'!$D$61</definedName>
    <definedName name="SCDPT3_3800001_3" localSheetId="2">'GMIC_2020-Annu_SCDPT3'!$E$61</definedName>
    <definedName name="SCDPT3_3800001_4" localSheetId="2">'GMIC_2020-Annu_SCDPT3'!$F$61</definedName>
    <definedName name="SCDPT3_3800001_5" localSheetId="2">'GMIC_2020-Annu_SCDPT3'!$G$61</definedName>
    <definedName name="SCDPT3_3800001_7" localSheetId="2">'GMIC_2020-Annu_SCDPT3'!$I$61</definedName>
    <definedName name="SCDPT3_3800001_8" localSheetId="2">'GMIC_2020-Annu_SCDPT3'!$J$61</definedName>
    <definedName name="SCDPT3_3800001_9" localSheetId="2">'GMIC_2020-Annu_SCDPT3'!$K$61</definedName>
    <definedName name="SCDPT3_3899999_7" localSheetId="2">'GMIC_2020-Annu_SCDPT3'!$I$345</definedName>
    <definedName name="SCDPT3_3899999_8" localSheetId="2">'GMIC_2020-Annu_SCDPT3'!$J$345</definedName>
    <definedName name="SCDPT3_3899999_9" localSheetId="2">'GMIC_2020-Annu_SCDPT3'!$K$345</definedName>
    <definedName name="SCDPT3_38BEGIN_1" localSheetId="2">'GMIC_2020-Annu_SCDPT3'!$C$60</definedName>
    <definedName name="SCDPT3_38BEGIN_10" localSheetId="2">'GMIC_2020-Annu_SCDPT3'!$L$60</definedName>
    <definedName name="SCDPT3_38BEGIN_11" localSheetId="2">'GMIC_2020-Annu_SCDPT3'!$M$60</definedName>
    <definedName name="SCDPT3_38BEGIN_12" localSheetId="2">'GMIC_2020-Annu_SCDPT3'!$N$60</definedName>
    <definedName name="SCDPT3_38BEGIN_13" localSheetId="2">'GMIC_2020-Annu_SCDPT3'!$O$60</definedName>
    <definedName name="SCDPT3_38BEGIN_14" localSheetId="2">'GMIC_2020-Annu_SCDPT3'!$P$60</definedName>
    <definedName name="SCDPT3_38BEGIN_2" localSheetId="2">'GMIC_2020-Annu_SCDPT3'!$D$60</definedName>
    <definedName name="SCDPT3_38BEGIN_3" localSheetId="2">'GMIC_2020-Annu_SCDPT3'!$E$60</definedName>
    <definedName name="SCDPT3_38BEGIN_4" localSheetId="2">'GMIC_2020-Annu_SCDPT3'!$F$60</definedName>
    <definedName name="SCDPT3_38BEGIN_5" localSheetId="2">'GMIC_2020-Annu_SCDPT3'!$G$60</definedName>
    <definedName name="SCDPT3_38BEGIN_6" localSheetId="2">'GMIC_2020-Annu_SCDPT3'!$H$60</definedName>
    <definedName name="SCDPT3_38BEGIN_7" localSheetId="2">'GMIC_2020-Annu_SCDPT3'!$I$60</definedName>
    <definedName name="SCDPT3_38BEGIN_8" localSheetId="2">'GMIC_2020-Annu_SCDPT3'!$J$60</definedName>
    <definedName name="SCDPT3_38BEGIN_9" localSheetId="2">'GMIC_2020-Annu_SCDPT3'!$K$60</definedName>
    <definedName name="SCDPT3_38ENDIN_10" localSheetId="2">'GMIC_2020-Annu_SCDPT3'!$L$344</definedName>
    <definedName name="SCDPT3_38ENDIN_11" localSheetId="2">'GMIC_2020-Annu_SCDPT3'!$M$344</definedName>
    <definedName name="SCDPT3_38ENDIN_12" localSheetId="2">'GMIC_2020-Annu_SCDPT3'!$N$344</definedName>
    <definedName name="SCDPT3_38ENDIN_13" localSheetId="2">'GMIC_2020-Annu_SCDPT3'!$O$344</definedName>
    <definedName name="SCDPT3_38ENDIN_14" localSheetId="2">'GMIC_2020-Annu_SCDPT3'!$P$344</definedName>
    <definedName name="SCDPT3_38ENDIN_2" localSheetId="2">'GMIC_2020-Annu_SCDPT3'!$D$344</definedName>
    <definedName name="SCDPT3_38ENDIN_3" localSheetId="2">'GMIC_2020-Annu_SCDPT3'!$E$344</definedName>
    <definedName name="SCDPT3_38ENDIN_4" localSheetId="2">'GMIC_2020-Annu_SCDPT3'!$F$344</definedName>
    <definedName name="SCDPT3_38ENDIN_5" localSheetId="2">'GMIC_2020-Annu_SCDPT3'!$G$344</definedName>
    <definedName name="SCDPT3_38ENDIN_6" localSheetId="2">'GMIC_2020-Annu_SCDPT3'!$H$344</definedName>
    <definedName name="SCDPT3_38ENDIN_7" localSheetId="2">'GMIC_2020-Annu_SCDPT3'!$I$344</definedName>
    <definedName name="SCDPT3_38ENDIN_8" localSheetId="2">'GMIC_2020-Annu_SCDPT3'!$J$344</definedName>
    <definedName name="SCDPT3_38ENDIN_9" localSheetId="2">'GMIC_2020-Annu_SCDPT3'!$K$344</definedName>
    <definedName name="SCDPT3_4800000_Range" localSheetId="2">'GMIC_2020-Annu_SCDPT3'!$B$346:$P$348</definedName>
    <definedName name="SCDPT3_4899999_7" localSheetId="2">'GMIC_2020-Annu_SCDPT3'!$I$349</definedName>
    <definedName name="SCDPT3_4899999_8" localSheetId="2">'GMIC_2020-Annu_SCDPT3'!$J$349</definedName>
    <definedName name="SCDPT3_4899999_9" localSheetId="2">'GMIC_2020-Annu_SCDPT3'!$K$349</definedName>
    <definedName name="SCDPT3_48BEGIN_1" localSheetId="2">'GMIC_2020-Annu_SCDPT3'!$C$346</definedName>
    <definedName name="SCDPT3_48BEGIN_10" localSheetId="2">'GMIC_2020-Annu_SCDPT3'!$L$346</definedName>
    <definedName name="SCDPT3_48BEGIN_11" localSheetId="2">'GMIC_2020-Annu_SCDPT3'!$M$346</definedName>
    <definedName name="SCDPT3_48BEGIN_12" localSheetId="2">'GMIC_2020-Annu_SCDPT3'!$N$346</definedName>
    <definedName name="SCDPT3_48BEGIN_13" localSheetId="2">'GMIC_2020-Annu_SCDPT3'!$O$346</definedName>
    <definedName name="SCDPT3_48BEGIN_14" localSheetId="2">'GMIC_2020-Annu_SCDPT3'!$P$346</definedName>
    <definedName name="SCDPT3_48BEGIN_2" localSheetId="2">'GMIC_2020-Annu_SCDPT3'!$D$346</definedName>
    <definedName name="SCDPT3_48BEGIN_3" localSheetId="2">'GMIC_2020-Annu_SCDPT3'!$E$346</definedName>
    <definedName name="SCDPT3_48BEGIN_4" localSheetId="2">'GMIC_2020-Annu_SCDPT3'!$F$346</definedName>
    <definedName name="SCDPT3_48BEGIN_5" localSheetId="2">'GMIC_2020-Annu_SCDPT3'!$G$346</definedName>
    <definedName name="SCDPT3_48BEGIN_6" localSheetId="2">'GMIC_2020-Annu_SCDPT3'!$H$346</definedName>
    <definedName name="SCDPT3_48BEGIN_7" localSheetId="2">'GMIC_2020-Annu_SCDPT3'!$I$346</definedName>
    <definedName name="SCDPT3_48BEGIN_8" localSheetId="2">'GMIC_2020-Annu_SCDPT3'!$J$346</definedName>
    <definedName name="SCDPT3_48BEGIN_9" localSheetId="2">'GMIC_2020-Annu_SCDPT3'!$K$346</definedName>
    <definedName name="SCDPT3_48ENDIN_10" localSheetId="2">'GMIC_2020-Annu_SCDPT3'!$L$348</definedName>
    <definedName name="SCDPT3_48ENDIN_11" localSheetId="2">'GMIC_2020-Annu_SCDPT3'!$M$348</definedName>
    <definedName name="SCDPT3_48ENDIN_12" localSheetId="2">'GMIC_2020-Annu_SCDPT3'!$N$348</definedName>
    <definedName name="SCDPT3_48ENDIN_13" localSheetId="2">'GMIC_2020-Annu_SCDPT3'!$O$348</definedName>
    <definedName name="SCDPT3_48ENDIN_14" localSheetId="2">'GMIC_2020-Annu_SCDPT3'!$P$348</definedName>
    <definedName name="SCDPT3_48ENDIN_2" localSheetId="2">'GMIC_2020-Annu_SCDPT3'!$D$348</definedName>
    <definedName name="SCDPT3_48ENDIN_3" localSheetId="2">'GMIC_2020-Annu_SCDPT3'!$E$348</definedName>
    <definedName name="SCDPT3_48ENDIN_4" localSheetId="2">'GMIC_2020-Annu_SCDPT3'!$F$348</definedName>
    <definedName name="SCDPT3_48ENDIN_5" localSheetId="2">'GMIC_2020-Annu_SCDPT3'!$G$348</definedName>
    <definedName name="SCDPT3_48ENDIN_6" localSheetId="2">'GMIC_2020-Annu_SCDPT3'!$H$348</definedName>
    <definedName name="SCDPT3_48ENDIN_7" localSheetId="2">'GMIC_2020-Annu_SCDPT3'!$I$348</definedName>
    <definedName name="SCDPT3_48ENDIN_8" localSheetId="2">'GMIC_2020-Annu_SCDPT3'!$J$348</definedName>
    <definedName name="SCDPT3_48ENDIN_9" localSheetId="2">'GMIC_2020-Annu_SCDPT3'!$K$348</definedName>
    <definedName name="SCDPT3_5500000_Range" localSheetId="2">'GMIC_2020-Annu_SCDPT3'!$B$350:$P$352</definedName>
    <definedName name="SCDPT3_5599999_7" localSheetId="2">'GMIC_2020-Annu_SCDPT3'!$I$353</definedName>
    <definedName name="SCDPT3_5599999_8" localSheetId="2">'GMIC_2020-Annu_SCDPT3'!$J$353</definedName>
    <definedName name="SCDPT3_5599999_9" localSheetId="2">'GMIC_2020-Annu_SCDPT3'!$K$353</definedName>
    <definedName name="SCDPT3_55BEGIN_1" localSheetId="2">'GMIC_2020-Annu_SCDPT3'!$C$350</definedName>
    <definedName name="SCDPT3_55BEGIN_10" localSheetId="2">'GMIC_2020-Annu_SCDPT3'!$L$350</definedName>
    <definedName name="SCDPT3_55BEGIN_11" localSheetId="2">'GMIC_2020-Annu_SCDPT3'!$M$350</definedName>
    <definedName name="SCDPT3_55BEGIN_12" localSheetId="2">'GMIC_2020-Annu_SCDPT3'!$N$350</definedName>
    <definedName name="SCDPT3_55BEGIN_13" localSheetId="2">'GMIC_2020-Annu_SCDPT3'!$O$350</definedName>
    <definedName name="SCDPT3_55BEGIN_14" localSheetId="2">'GMIC_2020-Annu_SCDPT3'!$P$350</definedName>
    <definedName name="SCDPT3_55BEGIN_2" localSheetId="2">'GMIC_2020-Annu_SCDPT3'!$D$350</definedName>
    <definedName name="SCDPT3_55BEGIN_3" localSheetId="2">'GMIC_2020-Annu_SCDPT3'!$E$350</definedName>
    <definedName name="SCDPT3_55BEGIN_4" localSheetId="2">'GMIC_2020-Annu_SCDPT3'!$F$350</definedName>
    <definedName name="SCDPT3_55BEGIN_5" localSheetId="2">'GMIC_2020-Annu_SCDPT3'!$G$350</definedName>
    <definedName name="SCDPT3_55BEGIN_6" localSheetId="2">'GMIC_2020-Annu_SCDPT3'!$H$350</definedName>
    <definedName name="SCDPT3_55BEGIN_7" localSheetId="2">'GMIC_2020-Annu_SCDPT3'!$I$350</definedName>
    <definedName name="SCDPT3_55BEGIN_8" localSheetId="2">'GMIC_2020-Annu_SCDPT3'!$J$350</definedName>
    <definedName name="SCDPT3_55BEGIN_9" localSheetId="2">'GMIC_2020-Annu_SCDPT3'!$K$350</definedName>
    <definedName name="SCDPT3_55ENDIN_10" localSheetId="2">'GMIC_2020-Annu_SCDPT3'!$L$352</definedName>
    <definedName name="SCDPT3_55ENDIN_11" localSheetId="2">'GMIC_2020-Annu_SCDPT3'!$M$352</definedName>
    <definedName name="SCDPT3_55ENDIN_12" localSheetId="2">'GMIC_2020-Annu_SCDPT3'!$N$352</definedName>
    <definedName name="SCDPT3_55ENDIN_13" localSheetId="2">'GMIC_2020-Annu_SCDPT3'!$O$352</definedName>
    <definedName name="SCDPT3_55ENDIN_14" localSheetId="2">'GMIC_2020-Annu_SCDPT3'!$P$352</definedName>
    <definedName name="SCDPT3_55ENDIN_2" localSheetId="2">'GMIC_2020-Annu_SCDPT3'!$D$352</definedName>
    <definedName name="SCDPT3_55ENDIN_3" localSheetId="2">'GMIC_2020-Annu_SCDPT3'!$E$352</definedName>
    <definedName name="SCDPT3_55ENDIN_4" localSheetId="2">'GMIC_2020-Annu_SCDPT3'!$F$352</definedName>
    <definedName name="SCDPT3_55ENDIN_5" localSheetId="2">'GMIC_2020-Annu_SCDPT3'!$G$352</definedName>
    <definedName name="SCDPT3_55ENDIN_6" localSheetId="2">'GMIC_2020-Annu_SCDPT3'!$H$352</definedName>
    <definedName name="SCDPT3_55ENDIN_7" localSheetId="2">'GMIC_2020-Annu_SCDPT3'!$I$352</definedName>
    <definedName name="SCDPT3_55ENDIN_8" localSheetId="2">'GMIC_2020-Annu_SCDPT3'!$J$352</definedName>
    <definedName name="SCDPT3_55ENDIN_9" localSheetId="2">'GMIC_2020-Annu_SCDPT3'!$K$352</definedName>
    <definedName name="SCDPT3_8000000_Range" localSheetId="2">'GMIC_2020-Annu_SCDPT3'!$B$354:$P$356</definedName>
    <definedName name="SCDPT3_8099999_7" localSheetId="2">'GMIC_2020-Annu_SCDPT3'!$I$357</definedName>
    <definedName name="SCDPT3_8099999_8" localSheetId="2">'GMIC_2020-Annu_SCDPT3'!$J$357</definedName>
    <definedName name="SCDPT3_8099999_9" localSheetId="2">'GMIC_2020-Annu_SCDPT3'!$K$357</definedName>
    <definedName name="SCDPT3_80BEGIN_1" localSheetId="2">'GMIC_2020-Annu_SCDPT3'!$C$354</definedName>
    <definedName name="SCDPT3_80BEGIN_10" localSheetId="2">'GMIC_2020-Annu_SCDPT3'!$L$354</definedName>
    <definedName name="SCDPT3_80BEGIN_11" localSheetId="2">'GMIC_2020-Annu_SCDPT3'!$M$354</definedName>
    <definedName name="SCDPT3_80BEGIN_12" localSheetId="2">'GMIC_2020-Annu_SCDPT3'!$N$354</definedName>
    <definedName name="SCDPT3_80BEGIN_13" localSheetId="2">'GMIC_2020-Annu_SCDPT3'!$O$354</definedName>
    <definedName name="SCDPT3_80BEGIN_14" localSheetId="2">'GMIC_2020-Annu_SCDPT3'!$P$354</definedName>
    <definedName name="SCDPT3_80BEGIN_2" localSheetId="2">'GMIC_2020-Annu_SCDPT3'!$D$354</definedName>
    <definedName name="SCDPT3_80BEGIN_3" localSheetId="2">'GMIC_2020-Annu_SCDPT3'!$E$354</definedName>
    <definedName name="SCDPT3_80BEGIN_4" localSheetId="2">'GMIC_2020-Annu_SCDPT3'!$F$354</definedName>
    <definedName name="SCDPT3_80BEGIN_5" localSheetId="2">'GMIC_2020-Annu_SCDPT3'!$G$354</definedName>
    <definedName name="SCDPT3_80BEGIN_6" localSheetId="2">'GMIC_2020-Annu_SCDPT3'!$H$354</definedName>
    <definedName name="SCDPT3_80BEGIN_7" localSheetId="2">'GMIC_2020-Annu_SCDPT3'!$I$354</definedName>
    <definedName name="SCDPT3_80BEGIN_8" localSheetId="2">'GMIC_2020-Annu_SCDPT3'!$J$354</definedName>
    <definedName name="SCDPT3_80BEGIN_9" localSheetId="2">'GMIC_2020-Annu_SCDPT3'!$K$354</definedName>
    <definedName name="SCDPT3_80ENDIN_10" localSheetId="2">'GMIC_2020-Annu_SCDPT3'!$L$356</definedName>
    <definedName name="SCDPT3_80ENDIN_11" localSheetId="2">'GMIC_2020-Annu_SCDPT3'!$M$356</definedName>
    <definedName name="SCDPT3_80ENDIN_12" localSheetId="2">'GMIC_2020-Annu_SCDPT3'!$N$356</definedName>
    <definedName name="SCDPT3_80ENDIN_13" localSheetId="2">'GMIC_2020-Annu_SCDPT3'!$O$356</definedName>
    <definedName name="SCDPT3_80ENDIN_14" localSheetId="2">'GMIC_2020-Annu_SCDPT3'!$P$356</definedName>
    <definedName name="SCDPT3_80ENDIN_2" localSheetId="2">'GMIC_2020-Annu_SCDPT3'!$D$356</definedName>
    <definedName name="SCDPT3_80ENDIN_3" localSheetId="2">'GMIC_2020-Annu_SCDPT3'!$E$356</definedName>
    <definedName name="SCDPT3_80ENDIN_4" localSheetId="2">'GMIC_2020-Annu_SCDPT3'!$F$356</definedName>
    <definedName name="SCDPT3_80ENDIN_5" localSheetId="2">'GMIC_2020-Annu_SCDPT3'!$G$356</definedName>
    <definedName name="SCDPT3_80ENDIN_6" localSheetId="2">'GMIC_2020-Annu_SCDPT3'!$H$356</definedName>
    <definedName name="SCDPT3_80ENDIN_7" localSheetId="2">'GMIC_2020-Annu_SCDPT3'!$I$356</definedName>
    <definedName name="SCDPT3_80ENDIN_8" localSheetId="2">'GMIC_2020-Annu_SCDPT3'!$J$356</definedName>
    <definedName name="SCDPT3_80ENDIN_9" localSheetId="2">'GMIC_2020-Annu_SCDPT3'!$K$356</definedName>
    <definedName name="SCDPT3_8200000_Range" localSheetId="2">'GMIC_2020-Annu_SCDPT3'!$B$358:$P$360</definedName>
    <definedName name="SCDPT3_8299999_7" localSheetId="2">'GMIC_2020-Annu_SCDPT3'!$I$361</definedName>
    <definedName name="SCDPT3_8299999_8" localSheetId="2">'GMIC_2020-Annu_SCDPT3'!$J$361</definedName>
    <definedName name="SCDPT3_8299999_9" localSheetId="2">'GMIC_2020-Annu_SCDPT3'!$K$361</definedName>
    <definedName name="SCDPT3_82BEGIN_1" localSheetId="2">'GMIC_2020-Annu_SCDPT3'!$C$358</definedName>
    <definedName name="SCDPT3_82BEGIN_10" localSheetId="2">'GMIC_2020-Annu_SCDPT3'!$L$358</definedName>
    <definedName name="SCDPT3_82BEGIN_11" localSheetId="2">'GMIC_2020-Annu_SCDPT3'!$M$358</definedName>
    <definedName name="SCDPT3_82BEGIN_12" localSheetId="2">'GMIC_2020-Annu_SCDPT3'!$N$358</definedName>
    <definedName name="SCDPT3_82BEGIN_13" localSheetId="2">'GMIC_2020-Annu_SCDPT3'!$O$358</definedName>
    <definedName name="SCDPT3_82BEGIN_14" localSheetId="2">'GMIC_2020-Annu_SCDPT3'!$P$358</definedName>
    <definedName name="SCDPT3_82BEGIN_2" localSheetId="2">'GMIC_2020-Annu_SCDPT3'!$D$358</definedName>
    <definedName name="SCDPT3_82BEGIN_3" localSheetId="2">'GMIC_2020-Annu_SCDPT3'!$E$358</definedName>
    <definedName name="SCDPT3_82BEGIN_4" localSheetId="2">'GMIC_2020-Annu_SCDPT3'!$F$358</definedName>
    <definedName name="SCDPT3_82BEGIN_5" localSheetId="2">'GMIC_2020-Annu_SCDPT3'!$G$358</definedName>
    <definedName name="SCDPT3_82BEGIN_6" localSheetId="2">'GMIC_2020-Annu_SCDPT3'!$H$358</definedName>
    <definedName name="SCDPT3_82BEGIN_7" localSheetId="2">'GMIC_2020-Annu_SCDPT3'!$I$358</definedName>
    <definedName name="SCDPT3_82BEGIN_8" localSheetId="2">'GMIC_2020-Annu_SCDPT3'!$J$358</definedName>
    <definedName name="SCDPT3_82BEGIN_9" localSheetId="2">'GMIC_2020-Annu_SCDPT3'!$K$358</definedName>
    <definedName name="SCDPT3_82ENDIN_10" localSheetId="2">'GMIC_2020-Annu_SCDPT3'!$L$360</definedName>
    <definedName name="SCDPT3_82ENDIN_11" localSheetId="2">'GMIC_2020-Annu_SCDPT3'!$M$360</definedName>
    <definedName name="SCDPT3_82ENDIN_12" localSheetId="2">'GMIC_2020-Annu_SCDPT3'!$N$360</definedName>
    <definedName name="SCDPT3_82ENDIN_13" localSheetId="2">'GMIC_2020-Annu_SCDPT3'!$O$360</definedName>
    <definedName name="SCDPT3_82ENDIN_14" localSheetId="2">'GMIC_2020-Annu_SCDPT3'!$P$360</definedName>
    <definedName name="SCDPT3_82ENDIN_2" localSheetId="2">'GMIC_2020-Annu_SCDPT3'!$D$360</definedName>
    <definedName name="SCDPT3_82ENDIN_3" localSheetId="2">'GMIC_2020-Annu_SCDPT3'!$E$360</definedName>
    <definedName name="SCDPT3_82ENDIN_4" localSheetId="2">'GMIC_2020-Annu_SCDPT3'!$F$360</definedName>
    <definedName name="SCDPT3_82ENDIN_5" localSheetId="2">'GMIC_2020-Annu_SCDPT3'!$G$360</definedName>
    <definedName name="SCDPT3_82ENDIN_6" localSheetId="2">'GMIC_2020-Annu_SCDPT3'!$H$360</definedName>
    <definedName name="SCDPT3_82ENDIN_7" localSheetId="2">'GMIC_2020-Annu_SCDPT3'!$I$360</definedName>
    <definedName name="SCDPT3_82ENDIN_8" localSheetId="2">'GMIC_2020-Annu_SCDPT3'!$J$360</definedName>
    <definedName name="SCDPT3_82ENDIN_9" localSheetId="2">'GMIC_2020-Annu_SCDPT3'!$K$360</definedName>
    <definedName name="SCDPT3_8399997_7" localSheetId="2">'GMIC_2020-Annu_SCDPT3'!$I$362</definedName>
    <definedName name="SCDPT3_8399997_8" localSheetId="2">'GMIC_2020-Annu_SCDPT3'!$J$362</definedName>
    <definedName name="SCDPT3_8399997_9" localSheetId="2">'GMIC_2020-Annu_SCDPT3'!$K$362</definedName>
    <definedName name="SCDPT3_8399998_7" localSheetId="2">'GMIC_2020-Annu_SCDPT3'!$I$363</definedName>
    <definedName name="SCDPT3_8399998_8" localSheetId="2">'GMIC_2020-Annu_SCDPT3'!$J$363</definedName>
    <definedName name="SCDPT3_8399998_9" localSheetId="2">'GMIC_2020-Annu_SCDPT3'!$K$363</definedName>
    <definedName name="SCDPT3_8399999_7" localSheetId="2">'GMIC_2020-Annu_SCDPT3'!$I$364</definedName>
    <definedName name="SCDPT3_8399999_8" localSheetId="2">'GMIC_2020-Annu_SCDPT3'!$J$364</definedName>
    <definedName name="SCDPT3_8399999_9" localSheetId="2">'GMIC_2020-Annu_SCDPT3'!$K$364</definedName>
    <definedName name="SCDPT3_8400000_Range" localSheetId="2">'GMIC_2020-Annu_SCDPT3'!$B$365:$P$367</definedName>
    <definedName name="SCDPT3_8499999_7" localSheetId="2">'GMIC_2020-Annu_SCDPT3'!$I$368</definedName>
    <definedName name="SCDPT3_8499999_9" localSheetId="2">'GMIC_2020-Annu_SCDPT3'!$K$368</definedName>
    <definedName name="SCDPT3_84BEGIN_1" localSheetId="2">'GMIC_2020-Annu_SCDPT3'!$C$365</definedName>
    <definedName name="SCDPT3_84BEGIN_10" localSheetId="2">'GMIC_2020-Annu_SCDPT3'!$L$365</definedName>
    <definedName name="SCDPT3_84BEGIN_11" localSheetId="2">'GMIC_2020-Annu_SCDPT3'!$M$365</definedName>
    <definedName name="SCDPT3_84BEGIN_12" localSheetId="2">'GMIC_2020-Annu_SCDPT3'!$N$365</definedName>
    <definedName name="SCDPT3_84BEGIN_13" localSheetId="2">'GMIC_2020-Annu_SCDPT3'!$O$365</definedName>
    <definedName name="SCDPT3_84BEGIN_14" localSheetId="2">'GMIC_2020-Annu_SCDPT3'!$P$365</definedName>
    <definedName name="SCDPT3_84BEGIN_2" localSheetId="2">'GMIC_2020-Annu_SCDPT3'!$D$365</definedName>
    <definedName name="SCDPT3_84BEGIN_3" localSheetId="2">'GMIC_2020-Annu_SCDPT3'!$E$365</definedName>
    <definedName name="SCDPT3_84BEGIN_4" localSheetId="2">'GMIC_2020-Annu_SCDPT3'!$F$365</definedName>
    <definedName name="SCDPT3_84BEGIN_5" localSheetId="2">'GMIC_2020-Annu_SCDPT3'!$G$365</definedName>
    <definedName name="SCDPT3_84BEGIN_6" localSheetId="2">'GMIC_2020-Annu_SCDPT3'!$H$365</definedName>
    <definedName name="SCDPT3_84BEGIN_7" localSheetId="2">'GMIC_2020-Annu_SCDPT3'!$I$365</definedName>
    <definedName name="SCDPT3_84BEGIN_8" localSheetId="2">'GMIC_2020-Annu_SCDPT3'!$J$365</definedName>
    <definedName name="SCDPT3_84BEGIN_9" localSheetId="2">'GMIC_2020-Annu_SCDPT3'!$K$365</definedName>
    <definedName name="SCDPT3_84ENDIN_10" localSheetId="2">'GMIC_2020-Annu_SCDPT3'!$L$367</definedName>
    <definedName name="SCDPT3_84ENDIN_11" localSheetId="2">'GMIC_2020-Annu_SCDPT3'!$M$367</definedName>
    <definedName name="SCDPT3_84ENDIN_12" localSheetId="2">'GMIC_2020-Annu_SCDPT3'!$N$367</definedName>
    <definedName name="SCDPT3_84ENDIN_13" localSheetId="2">'GMIC_2020-Annu_SCDPT3'!$O$367</definedName>
    <definedName name="SCDPT3_84ENDIN_14" localSheetId="2">'GMIC_2020-Annu_SCDPT3'!$P$367</definedName>
    <definedName name="SCDPT3_84ENDIN_2" localSheetId="2">'GMIC_2020-Annu_SCDPT3'!$D$367</definedName>
    <definedName name="SCDPT3_84ENDIN_3" localSheetId="2">'GMIC_2020-Annu_SCDPT3'!$E$367</definedName>
    <definedName name="SCDPT3_84ENDIN_4" localSheetId="2">'GMIC_2020-Annu_SCDPT3'!$F$367</definedName>
    <definedName name="SCDPT3_84ENDIN_5" localSheetId="2">'GMIC_2020-Annu_SCDPT3'!$G$367</definedName>
    <definedName name="SCDPT3_84ENDIN_6" localSheetId="2">'GMIC_2020-Annu_SCDPT3'!$H$367</definedName>
    <definedName name="SCDPT3_84ENDIN_7" localSheetId="2">'GMIC_2020-Annu_SCDPT3'!$I$367</definedName>
    <definedName name="SCDPT3_84ENDIN_8" localSheetId="2">'GMIC_2020-Annu_SCDPT3'!$J$367</definedName>
    <definedName name="SCDPT3_84ENDIN_9" localSheetId="2">'GMIC_2020-Annu_SCDPT3'!$K$367</definedName>
    <definedName name="SCDPT3_8500000_Range" localSheetId="2">'GMIC_2020-Annu_SCDPT3'!$B$369:$P$371</definedName>
    <definedName name="SCDPT3_8599999_7" localSheetId="2">'GMIC_2020-Annu_SCDPT3'!$I$372</definedName>
    <definedName name="SCDPT3_8599999_9" localSheetId="2">'GMIC_2020-Annu_SCDPT3'!$K$372</definedName>
    <definedName name="SCDPT3_85BEGIN_1" localSheetId="2">'GMIC_2020-Annu_SCDPT3'!$C$369</definedName>
    <definedName name="SCDPT3_85BEGIN_10" localSheetId="2">'GMIC_2020-Annu_SCDPT3'!$L$369</definedName>
    <definedName name="SCDPT3_85BEGIN_11" localSheetId="2">'GMIC_2020-Annu_SCDPT3'!$M$369</definedName>
    <definedName name="SCDPT3_85BEGIN_12" localSheetId="2">'GMIC_2020-Annu_SCDPT3'!$N$369</definedName>
    <definedName name="SCDPT3_85BEGIN_13" localSheetId="2">'GMIC_2020-Annu_SCDPT3'!$O$369</definedName>
    <definedName name="SCDPT3_85BEGIN_14" localSheetId="2">'GMIC_2020-Annu_SCDPT3'!$P$369</definedName>
    <definedName name="SCDPT3_85BEGIN_2" localSheetId="2">'GMIC_2020-Annu_SCDPT3'!$D$369</definedName>
    <definedName name="SCDPT3_85BEGIN_3" localSheetId="2">'GMIC_2020-Annu_SCDPT3'!$E$369</definedName>
    <definedName name="SCDPT3_85BEGIN_4" localSheetId="2">'GMIC_2020-Annu_SCDPT3'!$F$369</definedName>
    <definedName name="SCDPT3_85BEGIN_5" localSheetId="2">'GMIC_2020-Annu_SCDPT3'!$G$369</definedName>
    <definedName name="SCDPT3_85BEGIN_6" localSheetId="2">'GMIC_2020-Annu_SCDPT3'!$H$369</definedName>
    <definedName name="SCDPT3_85BEGIN_7" localSheetId="2">'GMIC_2020-Annu_SCDPT3'!$I$369</definedName>
    <definedName name="SCDPT3_85BEGIN_8" localSheetId="2">'GMIC_2020-Annu_SCDPT3'!$J$369</definedName>
    <definedName name="SCDPT3_85BEGIN_9" localSheetId="2">'GMIC_2020-Annu_SCDPT3'!$K$369</definedName>
    <definedName name="SCDPT3_85ENDIN_10" localSheetId="2">'GMIC_2020-Annu_SCDPT3'!$L$371</definedName>
    <definedName name="SCDPT3_85ENDIN_11" localSheetId="2">'GMIC_2020-Annu_SCDPT3'!$M$371</definedName>
    <definedName name="SCDPT3_85ENDIN_12" localSheetId="2">'GMIC_2020-Annu_SCDPT3'!$N$371</definedName>
    <definedName name="SCDPT3_85ENDIN_13" localSheetId="2">'GMIC_2020-Annu_SCDPT3'!$O$371</definedName>
    <definedName name="SCDPT3_85ENDIN_14" localSheetId="2">'GMIC_2020-Annu_SCDPT3'!$P$371</definedName>
    <definedName name="SCDPT3_85ENDIN_2" localSheetId="2">'GMIC_2020-Annu_SCDPT3'!$D$371</definedName>
    <definedName name="SCDPT3_85ENDIN_3" localSheetId="2">'GMIC_2020-Annu_SCDPT3'!$E$371</definedName>
    <definedName name="SCDPT3_85ENDIN_4" localSheetId="2">'GMIC_2020-Annu_SCDPT3'!$F$371</definedName>
    <definedName name="SCDPT3_85ENDIN_5" localSheetId="2">'GMIC_2020-Annu_SCDPT3'!$G$371</definedName>
    <definedName name="SCDPT3_85ENDIN_6" localSheetId="2">'GMIC_2020-Annu_SCDPT3'!$H$371</definedName>
    <definedName name="SCDPT3_85ENDIN_7" localSheetId="2">'GMIC_2020-Annu_SCDPT3'!$I$371</definedName>
    <definedName name="SCDPT3_85ENDIN_8" localSheetId="2">'GMIC_2020-Annu_SCDPT3'!$J$371</definedName>
    <definedName name="SCDPT3_85ENDIN_9" localSheetId="2">'GMIC_2020-Annu_SCDPT3'!$K$371</definedName>
    <definedName name="SCDPT3_8600000_Range" localSheetId="2">'GMIC_2020-Annu_SCDPT3'!$B$373:$P$375</definedName>
    <definedName name="SCDPT3_8699999_7" localSheetId="2">'GMIC_2020-Annu_SCDPT3'!$I$376</definedName>
    <definedName name="SCDPT3_8699999_9" localSheetId="2">'GMIC_2020-Annu_SCDPT3'!$K$376</definedName>
    <definedName name="SCDPT3_86BEGIN_1" localSheetId="2">'GMIC_2020-Annu_SCDPT3'!$C$373</definedName>
    <definedName name="SCDPT3_86BEGIN_10" localSheetId="2">'GMIC_2020-Annu_SCDPT3'!$L$373</definedName>
    <definedName name="SCDPT3_86BEGIN_11" localSheetId="2">'GMIC_2020-Annu_SCDPT3'!$M$373</definedName>
    <definedName name="SCDPT3_86BEGIN_12" localSheetId="2">'GMIC_2020-Annu_SCDPT3'!$N$373</definedName>
    <definedName name="SCDPT3_86BEGIN_13" localSheetId="2">'GMIC_2020-Annu_SCDPT3'!$O$373</definedName>
    <definedName name="SCDPT3_86BEGIN_14" localSheetId="2">'GMIC_2020-Annu_SCDPT3'!$P$373</definedName>
    <definedName name="SCDPT3_86BEGIN_2" localSheetId="2">'GMIC_2020-Annu_SCDPT3'!$D$373</definedName>
    <definedName name="SCDPT3_86BEGIN_3" localSheetId="2">'GMIC_2020-Annu_SCDPT3'!$E$373</definedName>
    <definedName name="SCDPT3_86BEGIN_4" localSheetId="2">'GMIC_2020-Annu_SCDPT3'!$F$373</definedName>
    <definedName name="SCDPT3_86BEGIN_5" localSheetId="2">'GMIC_2020-Annu_SCDPT3'!$G$373</definedName>
    <definedName name="SCDPT3_86BEGIN_6" localSheetId="2">'GMIC_2020-Annu_SCDPT3'!$H$373</definedName>
    <definedName name="SCDPT3_86BEGIN_7" localSheetId="2">'GMIC_2020-Annu_SCDPT3'!$I$373</definedName>
    <definedName name="SCDPT3_86BEGIN_8" localSheetId="2">'GMIC_2020-Annu_SCDPT3'!$J$373</definedName>
    <definedName name="SCDPT3_86BEGIN_9" localSheetId="2">'GMIC_2020-Annu_SCDPT3'!$K$373</definedName>
    <definedName name="SCDPT3_86ENDIN_10" localSheetId="2">'GMIC_2020-Annu_SCDPT3'!$L$375</definedName>
    <definedName name="SCDPT3_86ENDIN_11" localSheetId="2">'GMIC_2020-Annu_SCDPT3'!$M$375</definedName>
    <definedName name="SCDPT3_86ENDIN_12" localSheetId="2">'GMIC_2020-Annu_SCDPT3'!$N$375</definedName>
    <definedName name="SCDPT3_86ENDIN_13" localSheetId="2">'GMIC_2020-Annu_SCDPT3'!$O$375</definedName>
    <definedName name="SCDPT3_86ENDIN_14" localSheetId="2">'GMIC_2020-Annu_SCDPT3'!$P$375</definedName>
    <definedName name="SCDPT3_86ENDIN_2" localSheetId="2">'GMIC_2020-Annu_SCDPT3'!$D$375</definedName>
    <definedName name="SCDPT3_86ENDIN_3" localSheetId="2">'GMIC_2020-Annu_SCDPT3'!$E$375</definedName>
    <definedName name="SCDPT3_86ENDIN_4" localSheetId="2">'GMIC_2020-Annu_SCDPT3'!$F$375</definedName>
    <definedName name="SCDPT3_86ENDIN_5" localSheetId="2">'GMIC_2020-Annu_SCDPT3'!$G$375</definedName>
    <definedName name="SCDPT3_86ENDIN_6" localSheetId="2">'GMIC_2020-Annu_SCDPT3'!$H$375</definedName>
    <definedName name="SCDPT3_86ENDIN_7" localSheetId="2">'GMIC_2020-Annu_SCDPT3'!$I$375</definedName>
    <definedName name="SCDPT3_86ENDIN_8" localSheetId="2">'GMIC_2020-Annu_SCDPT3'!$J$375</definedName>
    <definedName name="SCDPT3_86ENDIN_9" localSheetId="2">'GMIC_2020-Annu_SCDPT3'!$K$375</definedName>
    <definedName name="SCDPT3_8700000_Range" localSheetId="2">'GMIC_2020-Annu_SCDPT3'!$B$377:$P$379</definedName>
    <definedName name="SCDPT3_8799999_7" localSheetId="2">'GMIC_2020-Annu_SCDPT3'!$I$380</definedName>
    <definedName name="SCDPT3_8799999_9" localSheetId="2">'GMIC_2020-Annu_SCDPT3'!$K$380</definedName>
    <definedName name="SCDPT3_87BEGIN_1" localSheetId="2">'GMIC_2020-Annu_SCDPT3'!$C$377</definedName>
    <definedName name="SCDPT3_87BEGIN_10" localSheetId="2">'GMIC_2020-Annu_SCDPT3'!$L$377</definedName>
    <definedName name="SCDPT3_87BEGIN_11" localSheetId="2">'GMIC_2020-Annu_SCDPT3'!$M$377</definedName>
    <definedName name="SCDPT3_87BEGIN_12" localSheetId="2">'GMIC_2020-Annu_SCDPT3'!$N$377</definedName>
    <definedName name="SCDPT3_87BEGIN_13" localSheetId="2">'GMIC_2020-Annu_SCDPT3'!$O$377</definedName>
    <definedName name="SCDPT3_87BEGIN_14" localSheetId="2">'GMIC_2020-Annu_SCDPT3'!$P$377</definedName>
    <definedName name="SCDPT3_87BEGIN_2" localSheetId="2">'GMIC_2020-Annu_SCDPT3'!$D$377</definedName>
    <definedName name="SCDPT3_87BEGIN_3" localSheetId="2">'GMIC_2020-Annu_SCDPT3'!$E$377</definedName>
    <definedName name="SCDPT3_87BEGIN_4" localSheetId="2">'GMIC_2020-Annu_SCDPT3'!$F$377</definedName>
    <definedName name="SCDPT3_87BEGIN_5" localSheetId="2">'GMIC_2020-Annu_SCDPT3'!$G$377</definedName>
    <definedName name="SCDPT3_87BEGIN_6" localSheetId="2">'GMIC_2020-Annu_SCDPT3'!$H$377</definedName>
    <definedName name="SCDPT3_87BEGIN_7" localSheetId="2">'GMIC_2020-Annu_SCDPT3'!$I$377</definedName>
    <definedName name="SCDPT3_87BEGIN_8" localSheetId="2">'GMIC_2020-Annu_SCDPT3'!$J$377</definedName>
    <definedName name="SCDPT3_87BEGIN_9" localSheetId="2">'GMIC_2020-Annu_SCDPT3'!$K$377</definedName>
    <definedName name="SCDPT3_87ENDIN_10" localSheetId="2">'GMIC_2020-Annu_SCDPT3'!$L$379</definedName>
    <definedName name="SCDPT3_87ENDIN_11" localSheetId="2">'GMIC_2020-Annu_SCDPT3'!$M$379</definedName>
    <definedName name="SCDPT3_87ENDIN_12" localSheetId="2">'GMIC_2020-Annu_SCDPT3'!$N$379</definedName>
    <definedName name="SCDPT3_87ENDIN_13" localSheetId="2">'GMIC_2020-Annu_SCDPT3'!$O$379</definedName>
    <definedName name="SCDPT3_87ENDIN_14" localSheetId="2">'GMIC_2020-Annu_SCDPT3'!$P$379</definedName>
    <definedName name="SCDPT3_87ENDIN_2" localSheetId="2">'GMIC_2020-Annu_SCDPT3'!$D$379</definedName>
    <definedName name="SCDPT3_87ENDIN_3" localSheetId="2">'GMIC_2020-Annu_SCDPT3'!$E$379</definedName>
    <definedName name="SCDPT3_87ENDIN_4" localSheetId="2">'GMIC_2020-Annu_SCDPT3'!$F$379</definedName>
    <definedName name="SCDPT3_87ENDIN_5" localSheetId="2">'GMIC_2020-Annu_SCDPT3'!$G$379</definedName>
    <definedName name="SCDPT3_87ENDIN_6" localSheetId="2">'GMIC_2020-Annu_SCDPT3'!$H$379</definedName>
    <definedName name="SCDPT3_87ENDIN_7" localSheetId="2">'GMIC_2020-Annu_SCDPT3'!$I$379</definedName>
    <definedName name="SCDPT3_87ENDIN_8" localSheetId="2">'GMIC_2020-Annu_SCDPT3'!$J$379</definedName>
    <definedName name="SCDPT3_87ENDIN_9" localSheetId="2">'GMIC_2020-Annu_SCDPT3'!$K$379</definedName>
    <definedName name="SCDPT3_8999997_7" localSheetId="2">'GMIC_2020-Annu_SCDPT3'!$I$381</definedName>
    <definedName name="SCDPT3_8999997_9" localSheetId="2">'GMIC_2020-Annu_SCDPT3'!$K$381</definedName>
    <definedName name="SCDPT3_8999998_7" localSheetId="2">'GMIC_2020-Annu_SCDPT3'!$I$382</definedName>
    <definedName name="SCDPT3_8999998_9" localSheetId="2">'GMIC_2020-Annu_SCDPT3'!$K$382</definedName>
    <definedName name="SCDPT3_8999999_7" localSheetId="2">'GMIC_2020-Annu_SCDPT3'!$I$383</definedName>
    <definedName name="SCDPT3_8999999_9" localSheetId="2">'GMIC_2020-Annu_SCDPT3'!$K$383</definedName>
    <definedName name="SCDPT3_9000000_Range" localSheetId="2">'GMIC_2020-Annu_SCDPT3'!$B$384:$P$386</definedName>
    <definedName name="SCDPT3_9099999_7" localSheetId="2">'GMIC_2020-Annu_SCDPT3'!$I$387</definedName>
    <definedName name="SCDPT3_9099999_9" localSheetId="2">'GMIC_2020-Annu_SCDPT3'!$K$387</definedName>
    <definedName name="SCDPT3_90BEGIN_1" localSheetId="2">'GMIC_2020-Annu_SCDPT3'!$C$384</definedName>
    <definedName name="SCDPT3_90BEGIN_10" localSheetId="2">'GMIC_2020-Annu_SCDPT3'!$L$384</definedName>
    <definedName name="SCDPT3_90BEGIN_11" localSheetId="2">'GMIC_2020-Annu_SCDPT3'!$M$384</definedName>
    <definedName name="SCDPT3_90BEGIN_12" localSheetId="2">'GMIC_2020-Annu_SCDPT3'!$N$384</definedName>
    <definedName name="SCDPT3_90BEGIN_13" localSheetId="2">'GMIC_2020-Annu_SCDPT3'!$O$384</definedName>
    <definedName name="SCDPT3_90BEGIN_14" localSheetId="2">'GMIC_2020-Annu_SCDPT3'!$P$384</definedName>
    <definedName name="SCDPT3_90BEGIN_2" localSheetId="2">'GMIC_2020-Annu_SCDPT3'!$D$384</definedName>
    <definedName name="SCDPT3_90BEGIN_3" localSheetId="2">'GMIC_2020-Annu_SCDPT3'!$E$384</definedName>
    <definedName name="SCDPT3_90BEGIN_4" localSheetId="2">'GMIC_2020-Annu_SCDPT3'!$F$384</definedName>
    <definedName name="SCDPT3_90BEGIN_5" localSheetId="2">'GMIC_2020-Annu_SCDPT3'!$G$384</definedName>
    <definedName name="SCDPT3_90BEGIN_6" localSheetId="2">'GMIC_2020-Annu_SCDPT3'!$H$384</definedName>
    <definedName name="SCDPT3_90BEGIN_7" localSheetId="2">'GMIC_2020-Annu_SCDPT3'!$I$384</definedName>
    <definedName name="SCDPT3_90BEGIN_8" localSheetId="2">'GMIC_2020-Annu_SCDPT3'!$J$384</definedName>
    <definedName name="SCDPT3_90BEGIN_9" localSheetId="2">'GMIC_2020-Annu_SCDPT3'!$K$384</definedName>
    <definedName name="SCDPT3_90ENDIN_10" localSheetId="2">'GMIC_2020-Annu_SCDPT3'!$L$386</definedName>
    <definedName name="SCDPT3_90ENDIN_11" localSheetId="2">'GMIC_2020-Annu_SCDPT3'!$M$386</definedName>
    <definedName name="SCDPT3_90ENDIN_12" localSheetId="2">'GMIC_2020-Annu_SCDPT3'!$N$386</definedName>
    <definedName name="SCDPT3_90ENDIN_13" localSheetId="2">'GMIC_2020-Annu_SCDPT3'!$O$386</definedName>
    <definedName name="SCDPT3_90ENDIN_14" localSheetId="2">'GMIC_2020-Annu_SCDPT3'!$P$386</definedName>
    <definedName name="SCDPT3_90ENDIN_2" localSheetId="2">'GMIC_2020-Annu_SCDPT3'!$D$386</definedName>
    <definedName name="SCDPT3_90ENDIN_3" localSheetId="2">'GMIC_2020-Annu_SCDPT3'!$E$386</definedName>
    <definedName name="SCDPT3_90ENDIN_4" localSheetId="2">'GMIC_2020-Annu_SCDPT3'!$F$386</definedName>
    <definedName name="SCDPT3_90ENDIN_5" localSheetId="2">'GMIC_2020-Annu_SCDPT3'!$G$386</definedName>
    <definedName name="SCDPT3_90ENDIN_6" localSheetId="2">'GMIC_2020-Annu_SCDPT3'!$H$386</definedName>
    <definedName name="SCDPT3_90ENDIN_7" localSheetId="2">'GMIC_2020-Annu_SCDPT3'!$I$386</definedName>
    <definedName name="SCDPT3_90ENDIN_8" localSheetId="2">'GMIC_2020-Annu_SCDPT3'!$J$386</definedName>
    <definedName name="SCDPT3_90ENDIN_9" localSheetId="2">'GMIC_2020-Annu_SCDPT3'!$K$386</definedName>
    <definedName name="SCDPT3_9100000_Range" localSheetId="2">'GMIC_2020-Annu_SCDPT3'!$B$388:$P$390</definedName>
    <definedName name="SCDPT3_9199999_7" localSheetId="2">'GMIC_2020-Annu_SCDPT3'!$I$391</definedName>
    <definedName name="SCDPT3_9199999_9" localSheetId="2">'GMIC_2020-Annu_SCDPT3'!$K$391</definedName>
    <definedName name="SCDPT3_91BEGIN_1" localSheetId="2">'GMIC_2020-Annu_SCDPT3'!$C$388</definedName>
    <definedName name="SCDPT3_91BEGIN_10" localSheetId="2">'GMIC_2020-Annu_SCDPT3'!$L$388</definedName>
    <definedName name="SCDPT3_91BEGIN_11" localSheetId="2">'GMIC_2020-Annu_SCDPT3'!$M$388</definedName>
    <definedName name="SCDPT3_91BEGIN_12" localSheetId="2">'GMIC_2020-Annu_SCDPT3'!$N$388</definedName>
    <definedName name="SCDPT3_91BEGIN_13" localSheetId="2">'GMIC_2020-Annu_SCDPT3'!$O$388</definedName>
    <definedName name="SCDPT3_91BEGIN_14" localSheetId="2">'GMIC_2020-Annu_SCDPT3'!$P$388</definedName>
    <definedName name="SCDPT3_91BEGIN_2" localSheetId="2">'GMIC_2020-Annu_SCDPT3'!$D$388</definedName>
    <definedName name="SCDPT3_91BEGIN_3" localSheetId="2">'GMIC_2020-Annu_SCDPT3'!$E$388</definedName>
    <definedName name="SCDPT3_91BEGIN_4" localSheetId="2">'GMIC_2020-Annu_SCDPT3'!$F$388</definedName>
    <definedName name="SCDPT3_91BEGIN_5" localSheetId="2">'GMIC_2020-Annu_SCDPT3'!$G$388</definedName>
    <definedName name="SCDPT3_91BEGIN_6" localSheetId="2">'GMIC_2020-Annu_SCDPT3'!$H$388</definedName>
    <definedName name="SCDPT3_91BEGIN_7" localSheetId="2">'GMIC_2020-Annu_SCDPT3'!$I$388</definedName>
    <definedName name="SCDPT3_91BEGIN_8" localSheetId="2">'GMIC_2020-Annu_SCDPT3'!$J$388</definedName>
    <definedName name="SCDPT3_91BEGIN_9" localSheetId="2">'GMIC_2020-Annu_SCDPT3'!$K$388</definedName>
    <definedName name="SCDPT3_91ENDIN_10" localSheetId="2">'GMIC_2020-Annu_SCDPT3'!$L$390</definedName>
    <definedName name="SCDPT3_91ENDIN_11" localSheetId="2">'GMIC_2020-Annu_SCDPT3'!$M$390</definedName>
    <definedName name="SCDPT3_91ENDIN_12" localSheetId="2">'GMIC_2020-Annu_SCDPT3'!$N$390</definedName>
    <definedName name="SCDPT3_91ENDIN_13" localSheetId="2">'GMIC_2020-Annu_SCDPT3'!$O$390</definedName>
    <definedName name="SCDPT3_91ENDIN_14" localSheetId="2">'GMIC_2020-Annu_SCDPT3'!$P$390</definedName>
    <definedName name="SCDPT3_91ENDIN_2" localSheetId="2">'GMIC_2020-Annu_SCDPT3'!$D$390</definedName>
    <definedName name="SCDPT3_91ENDIN_3" localSheetId="2">'GMIC_2020-Annu_SCDPT3'!$E$390</definedName>
    <definedName name="SCDPT3_91ENDIN_4" localSheetId="2">'GMIC_2020-Annu_SCDPT3'!$F$390</definedName>
    <definedName name="SCDPT3_91ENDIN_5" localSheetId="2">'GMIC_2020-Annu_SCDPT3'!$G$390</definedName>
    <definedName name="SCDPT3_91ENDIN_6" localSheetId="2">'GMIC_2020-Annu_SCDPT3'!$H$390</definedName>
    <definedName name="SCDPT3_91ENDIN_7" localSheetId="2">'GMIC_2020-Annu_SCDPT3'!$I$390</definedName>
    <definedName name="SCDPT3_91ENDIN_8" localSheetId="2">'GMIC_2020-Annu_SCDPT3'!$J$390</definedName>
    <definedName name="SCDPT3_91ENDIN_9" localSheetId="2">'GMIC_2020-Annu_SCDPT3'!$K$390</definedName>
    <definedName name="SCDPT3_9200000_Range" localSheetId="2">'GMIC_2020-Annu_SCDPT3'!$B$392:$P$394</definedName>
    <definedName name="SCDPT3_9299999_7" localSheetId="2">'GMIC_2020-Annu_SCDPT3'!$I$395</definedName>
    <definedName name="SCDPT3_9299999_9" localSheetId="2">'GMIC_2020-Annu_SCDPT3'!$K$395</definedName>
    <definedName name="SCDPT3_92BEGIN_1" localSheetId="2">'GMIC_2020-Annu_SCDPT3'!$C$392</definedName>
    <definedName name="SCDPT3_92BEGIN_10" localSheetId="2">'GMIC_2020-Annu_SCDPT3'!$L$392</definedName>
    <definedName name="SCDPT3_92BEGIN_11" localSheetId="2">'GMIC_2020-Annu_SCDPT3'!$M$392</definedName>
    <definedName name="SCDPT3_92BEGIN_12" localSheetId="2">'GMIC_2020-Annu_SCDPT3'!$N$392</definedName>
    <definedName name="SCDPT3_92BEGIN_13" localSheetId="2">'GMIC_2020-Annu_SCDPT3'!$O$392</definedName>
    <definedName name="SCDPT3_92BEGIN_14" localSheetId="2">'GMIC_2020-Annu_SCDPT3'!$P$392</definedName>
    <definedName name="SCDPT3_92BEGIN_2" localSheetId="2">'GMIC_2020-Annu_SCDPT3'!$D$392</definedName>
    <definedName name="SCDPT3_92BEGIN_3" localSheetId="2">'GMIC_2020-Annu_SCDPT3'!$E$392</definedName>
    <definedName name="SCDPT3_92BEGIN_4" localSheetId="2">'GMIC_2020-Annu_SCDPT3'!$F$392</definedName>
    <definedName name="SCDPT3_92BEGIN_5" localSheetId="2">'GMIC_2020-Annu_SCDPT3'!$G$392</definedName>
    <definedName name="SCDPT3_92BEGIN_6" localSheetId="2">'GMIC_2020-Annu_SCDPT3'!$H$392</definedName>
    <definedName name="SCDPT3_92BEGIN_7" localSheetId="2">'GMIC_2020-Annu_SCDPT3'!$I$392</definedName>
    <definedName name="SCDPT3_92BEGIN_8" localSheetId="2">'GMIC_2020-Annu_SCDPT3'!$J$392</definedName>
    <definedName name="SCDPT3_92BEGIN_9" localSheetId="2">'GMIC_2020-Annu_SCDPT3'!$K$392</definedName>
    <definedName name="SCDPT3_92ENDIN_10" localSheetId="2">'GMIC_2020-Annu_SCDPT3'!$L$394</definedName>
    <definedName name="SCDPT3_92ENDIN_11" localSheetId="2">'GMIC_2020-Annu_SCDPT3'!$M$394</definedName>
    <definedName name="SCDPT3_92ENDIN_12" localSheetId="2">'GMIC_2020-Annu_SCDPT3'!$N$394</definedName>
    <definedName name="SCDPT3_92ENDIN_13" localSheetId="2">'GMIC_2020-Annu_SCDPT3'!$O$394</definedName>
    <definedName name="SCDPT3_92ENDIN_14" localSheetId="2">'GMIC_2020-Annu_SCDPT3'!$P$394</definedName>
    <definedName name="SCDPT3_92ENDIN_2" localSheetId="2">'GMIC_2020-Annu_SCDPT3'!$D$394</definedName>
    <definedName name="SCDPT3_92ENDIN_3" localSheetId="2">'GMIC_2020-Annu_SCDPT3'!$E$394</definedName>
    <definedName name="SCDPT3_92ENDIN_4" localSheetId="2">'GMIC_2020-Annu_SCDPT3'!$F$394</definedName>
    <definedName name="SCDPT3_92ENDIN_5" localSheetId="2">'GMIC_2020-Annu_SCDPT3'!$G$394</definedName>
    <definedName name="SCDPT3_92ENDIN_6" localSheetId="2">'GMIC_2020-Annu_SCDPT3'!$H$394</definedName>
    <definedName name="SCDPT3_92ENDIN_7" localSheetId="2">'GMIC_2020-Annu_SCDPT3'!$I$394</definedName>
    <definedName name="SCDPT3_92ENDIN_8" localSheetId="2">'GMIC_2020-Annu_SCDPT3'!$J$394</definedName>
    <definedName name="SCDPT3_92ENDIN_9" localSheetId="2">'GMIC_2020-Annu_SCDPT3'!$K$394</definedName>
    <definedName name="SCDPT3_9300000_Range" localSheetId="2">'GMIC_2020-Annu_SCDPT3'!$B$396:$P$398</definedName>
    <definedName name="SCDPT3_9399999_7" localSheetId="2">'GMIC_2020-Annu_SCDPT3'!$I$399</definedName>
    <definedName name="SCDPT3_9399999_9" localSheetId="2">'GMIC_2020-Annu_SCDPT3'!$K$399</definedName>
    <definedName name="SCDPT3_93BEGIN_1" localSheetId="2">'GMIC_2020-Annu_SCDPT3'!$C$396</definedName>
    <definedName name="SCDPT3_93BEGIN_10" localSheetId="2">'GMIC_2020-Annu_SCDPT3'!$L$396</definedName>
    <definedName name="SCDPT3_93BEGIN_11" localSheetId="2">'GMIC_2020-Annu_SCDPT3'!$M$396</definedName>
    <definedName name="SCDPT3_93BEGIN_12" localSheetId="2">'GMIC_2020-Annu_SCDPT3'!$N$396</definedName>
    <definedName name="SCDPT3_93BEGIN_13" localSheetId="2">'GMIC_2020-Annu_SCDPT3'!$O$396</definedName>
    <definedName name="SCDPT3_93BEGIN_14" localSheetId="2">'GMIC_2020-Annu_SCDPT3'!$P$396</definedName>
    <definedName name="SCDPT3_93BEGIN_2" localSheetId="2">'GMIC_2020-Annu_SCDPT3'!$D$396</definedName>
    <definedName name="SCDPT3_93BEGIN_3" localSheetId="2">'GMIC_2020-Annu_SCDPT3'!$E$396</definedName>
    <definedName name="SCDPT3_93BEGIN_4" localSheetId="2">'GMIC_2020-Annu_SCDPT3'!$F$396</definedName>
    <definedName name="SCDPT3_93BEGIN_5" localSheetId="2">'GMIC_2020-Annu_SCDPT3'!$G$396</definedName>
    <definedName name="SCDPT3_93BEGIN_6" localSheetId="2">'GMIC_2020-Annu_SCDPT3'!$H$396</definedName>
    <definedName name="SCDPT3_93BEGIN_7" localSheetId="2">'GMIC_2020-Annu_SCDPT3'!$I$396</definedName>
    <definedName name="SCDPT3_93BEGIN_8" localSheetId="2">'GMIC_2020-Annu_SCDPT3'!$J$396</definedName>
    <definedName name="SCDPT3_93BEGIN_9" localSheetId="2">'GMIC_2020-Annu_SCDPT3'!$K$396</definedName>
    <definedName name="SCDPT3_93ENDIN_10" localSheetId="2">'GMIC_2020-Annu_SCDPT3'!$L$398</definedName>
    <definedName name="SCDPT3_93ENDIN_11" localSheetId="2">'GMIC_2020-Annu_SCDPT3'!$M$398</definedName>
    <definedName name="SCDPT3_93ENDIN_12" localSheetId="2">'GMIC_2020-Annu_SCDPT3'!$N$398</definedName>
    <definedName name="SCDPT3_93ENDIN_13" localSheetId="2">'GMIC_2020-Annu_SCDPT3'!$O$398</definedName>
    <definedName name="SCDPT3_93ENDIN_14" localSheetId="2">'GMIC_2020-Annu_SCDPT3'!$P$398</definedName>
    <definedName name="SCDPT3_93ENDIN_2" localSheetId="2">'GMIC_2020-Annu_SCDPT3'!$D$398</definedName>
    <definedName name="SCDPT3_93ENDIN_3" localSheetId="2">'GMIC_2020-Annu_SCDPT3'!$E$398</definedName>
    <definedName name="SCDPT3_93ENDIN_4" localSheetId="2">'GMIC_2020-Annu_SCDPT3'!$F$398</definedName>
    <definedName name="SCDPT3_93ENDIN_5" localSheetId="2">'GMIC_2020-Annu_SCDPT3'!$G$398</definedName>
    <definedName name="SCDPT3_93ENDIN_6" localSheetId="2">'GMIC_2020-Annu_SCDPT3'!$H$398</definedName>
    <definedName name="SCDPT3_93ENDIN_7" localSheetId="2">'GMIC_2020-Annu_SCDPT3'!$I$398</definedName>
    <definedName name="SCDPT3_93ENDIN_8" localSheetId="2">'GMIC_2020-Annu_SCDPT3'!$J$398</definedName>
    <definedName name="SCDPT3_93ENDIN_9" localSheetId="2">'GMIC_2020-Annu_SCDPT3'!$K$398</definedName>
    <definedName name="SCDPT3_9400000_Range" localSheetId="2">'GMIC_2020-Annu_SCDPT3'!$B$400:$P$402</definedName>
    <definedName name="SCDPT3_9499999_7" localSheetId="2">'GMIC_2020-Annu_SCDPT3'!$I$403</definedName>
    <definedName name="SCDPT3_9499999_9" localSheetId="2">'GMIC_2020-Annu_SCDPT3'!$K$403</definedName>
    <definedName name="SCDPT3_94BEGIN_1" localSheetId="2">'GMIC_2020-Annu_SCDPT3'!$C$400</definedName>
    <definedName name="SCDPT3_94BEGIN_10" localSheetId="2">'GMIC_2020-Annu_SCDPT3'!$L$400</definedName>
    <definedName name="SCDPT3_94BEGIN_11" localSheetId="2">'GMIC_2020-Annu_SCDPT3'!$M$400</definedName>
    <definedName name="SCDPT3_94BEGIN_12" localSheetId="2">'GMIC_2020-Annu_SCDPT3'!$N$400</definedName>
    <definedName name="SCDPT3_94BEGIN_13" localSheetId="2">'GMIC_2020-Annu_SCDPT3'!$O$400</definedName>
    <definedName name="SCDPT3_94BEGIN_14" localSheetId="2">'GMIC_2020-Annu_SCDPT3'!$P$400</definedName>
    <definedName name="SCDPT3_94BEGIN_2" localSheetId="2">'GMIC_2020-Annu_SCDPT3'!$D$400</definedName>
    <definedName name="SCDPT3_94BEGIN_3" localSheetId="2">'GMIC_2020-Annu_SCDPT3'!$E$400</definedName>
    <definedName name="SCDPT3_94BEGIN_4" localSheetId="2">'GMIC_2020-Annu_SCDPT3'!$F$400</definedName>
    <definedName name="SCDPT3_94BEGIN_5" localSheetId="2">'GMIC_2020-Annu_SCDPT3'!$G$400</definedName>
    <definedName name="SCDPT3_94BEGIN_6" localSheetId="2">'GMIC_2020-Annu_SCDPT3'!$H$400</definedName>
    <definedName name="SCDPT3_94BEGIN_7" localSheetId="2">'GMIC_2020-Annu_SCDPT3'!$I$400</definedName>
    <definedName name="SCDPT3_94BEGIN_8" localSheetId="2">'GMIC_2020-Annu_SCDPT3'!$J$400</definedName>
    <definedName name="SCDPT3_94BEGIN_9" localSheetId="2">'GMIC_2020-Annu_SCDPT3'!$K$400</definedName>
    <definedName name="SCDPT3_94ENDIN_10" localSheetId="2">'GMIC_2020-Annu_SCDPT3'!$L$402</definedName>
    <definedName name="SCDPT3_94ENDIN_11" localSheetId="2">'GMIC_2020-Annu_SCDPT3'!$M$402</definedName>
    <definedName name="SCDPT3_94ENDIN_12" localSheetId="2">'GMIC_2020-Annu_SCDPT3'!$N$402</definedName>
    <definedName name="SCDPT3_94ENDIN_13" localSheetId="2">'GMIC_2020-Annu_SCDPT3'!$O$402</definedName>
    <definedName name="SCDPT3_94ENDIN_14" localSheetId="2">'GMIC_2020-Annu_SCDPT3'!$P$402</definedName>
    <definedName name="SCDPT3_94ENDIN_2" localSheetId="2">'GMIC_2020-Annu_SCDPT3'!$D$402</definedName>
    <definedName name="SCDPT3_94ENDIN_3" localSheetId="2">'GMIC_2020-Annu_SCDPT3'!$E$402</definedName>
    <definedName name="SCDPT3_94ENDIN_4" localSheetId="2">'GMIC_2020-Annu_SCDPT3'!$F$402</definedName>
    <definedName name="SCDPT3_94ENDIN_5" localSheetId="2">'GMIC_2020-Annu_SCDPT3'!$G$402</definedName>
    <definedName name="SCDPT3_94ENDIN_6" localSheetId="2">'GMIC_2020-Annu_SCDPT3'!$H$402</definedName>
    <definedName name="SCDPT3_94ENDIN_7" localSheetId="2">'GMIC_2020-Annu_SCDPT3'!$I$402</definedName>
    <definedName name="SCDPT3_94ENDIN_8" localSheetId="2">'GMIC_2020-Annu_SCDPT3'!$J$402</definedName>
    <definedName name="SCDPT3_94ENDIN_9" localSheetId="2">'GMIC_2020-Annu_SCDPT3'!$K$402</definedName>
    <definedName name="SCDPT3_9500000_Range" localSheetId="2">'GMIC_2020-Annu_SCDPT3'!$B$404:$P$406</definedName>
    <definedName name="SCDPT3_9599999_7" localSheetId="2">'GMIC_2020-Annu_SCDPT3'!$I$407</definedName>
    <definedName name="SCDPT3_9599999_9" localSheetId="2">'GMIC_2020-Annu_SCDPT3'!$K$407</definedName>
    <definedName name="SCDPT3_95BEGIN_1" localSheetId="2">'GMIC_2020-Annu_SCDPT3'!$C$404</definedName>
    <definedName name="SCDPT3_95BEGIN_10" localSheetId="2">'GMIC_2020-Annu_SCDPT3'!$L$404</definedName>
    <definedName name="SCDPT3_95BEGIN_11" localSheetId="2">'GMIC_2020-Annu_SCDPT3'!$M$404</definedName>
    <definedName name="SCDPT3_95BEGIN_12" localSheetId="2">'GMIC_2020-Annu_SCDPT3'!$N$404</definedName>
    <definedName name="SCDPT3_95BEGIN_13" localSheetId="2">'GMIC_2020-Annu_SCDPT3'!$O$404</definedName>
    <definedName name="SCDPT3_95BEGIN_14" localSheetId="2">'GMIC_2020-Annu_SCDPT3'!$P$404</definedName>
    <definedName name="SCDPT3_95BEGIN_2" localSheetId="2">'GMIC_2020-Annu_SCDPT3'!$D$404</definedName>
    <definedName name="SCDPT3_95BEGIN_3" localSheetId="2">'GMIC_2020-Annu_SCDPT3'!$E$404</definedName>
    <definedName name="SCDPT3_95BEGIN_4" localSheetId="2">'GMIC_2020-Annu_SCDPT3'!$F$404</definedName>
    <definedName name="SCDPT3_95BEGIN_5" localSheetId="2">'GMIC_2020-Annu_SCDPT3'!$G$404</definedName>
    <definedName name="SCDPT3_95BEGIN_6" localSheetId="2">'GMIC_2020-Annu_SCDPT3'!$H$404</definedName>
    <definedName name="SCDPT3_95BEGIN_7" localSheetId="2">'GMIC_2020-Annu_SCDPT3'!$I$404</definedName>
    <definedName name="SCDPT3_95BEGIN_8" localSheetId="2">'GMIC_2020-Annu_SCDPT3'!$J$404</definedName>
    <definedName name="SCDPT3_95BEGIN_9" localSheetId="2">'GMIC_2020-Annu_SCDPT3'!$K$404</definedName>
    <definedName name="SCDPT3_95ENDIN_10" localSheetId="2">'GMIC_2020-Annu_SCDPT3'!$L$406</definedName>
    <definedName name="SCDPT3_95ENDIN_11" localSheetId="2">'GMIC_2020-Annu_SCDPT3'!$M$406</definedName>
    <definedName name="SCDPT3_95ENDIN_12" localSheetId="2">'GMIC_2020-Annu_SCDPT3'!$N$406</definedName>
    <definedName name="SCDPT3_95ENDIN_13" localSheetId="2">'GMIC_2020-Annu_SCDPT3'!$O$406</definedName>
    <definedName name="SCDPT3_95ENDIN_14" localSheetId="2">'GMIC_2020-Annu_SCDPT3'!$P$406</definedName>
    <definedName name="SCDPT3_95ENDIN_2" localSheetId="2">'GMIC_2020-Annu_SCDPT3'!$D$406</definedName>
    <definedName name="SCDPT3_95ENDIN_3" localSheetId="2">'GMIC_2020-Annu_SCDPT3'!$E$406</definedName>
    <definedName name="SCDPT3_95ENDIN_4" localSheetId="2">'GMIC_2020-Annu_SCDPT3'!$F$406</definedName>
    <definedName name="SCDPT3_95ENDIN_5" localSheetId="2">'GMIC_2020-Annu_SCDPT3'!$G$406</definedName>
    <definedName name="SCDPT3_95ENDIN_6" localSheetId="2">'GMIC_2020-Annu_SCDPT3'!$H$406</definedName>
    <definedName name="SCDPT3_95ENDIN_7" localSheetId="2">'GMIC_2020-Annu_SCDPT3'!$I$406</definedName>
    <definedName name="SCDPT3_95ENDIN_8" localSheetId="2">'GMIC_2020-Annu_SCDPT3'!$J$406</definedName>
    <definedName name="SCDPT3_95ENDIN_9" localSheetId="2">'GMIC_2020-Annu_SCDPT3'!$K$406</definedName>
    <definedName name="SCDPT3_9600000_Range" localSheetId="2">'GMIC_2020-Annu_SCDPT3'!$B$408:$P$410</definedName>
    <definedName name="SCDPT3_9699999_7" localSheetId="2">'GMIC_2020-Annu_SCDPT3'!$I$411</definedName>
    <definedName name="SCDPT3_9699999_9" localSheetId="2">'GMIC_2020-Annu_SCDPT3'!$K$411</definedName>
    <definedName name="SCDPT3_96BEGIN_1" localSheetId="2">'GMIC_2020-Annu_SCDPT3'!$C$408</definedName>
    <definedName name="SCDPT3_96BEGIN_10" localSheetId="2">'GMIC_2020-Annu_SCDPT3'!$L$408</definedName>
    <definedName name="SCDPT3_96BEGIN_11" localSheetId="2">'GMIC_2020-Annu_SCDPT3'!$M$408</definedName>
    <definedName name="SCDPT3_96BEGIN_12" localSheetId="2">'GMIC_2020-Annu_SCDPT3'!$N$408</definedName>
    <definedName name="SCDPT3_96BEGIN_13" localSheetId="2">'GMIC_2020-Annu_SCDPT3'!$O$408</definedName>
    <definedName name="SCDPT3_96BEGIN_14" localSheetId="2">'GMIC_2020-Annu_SCDPT3'!$P$408</definedName>
    <definedName name="SCDPT3_96BEGIN_2" localSheetId="2">'GMIC_2020-Annu_SCDPT3'!$D$408</definedName>
    <definedName name="SCDPT3_96BEGIN_3" localSheetId="2">'GMIC_2020-Annu_SCDPT3'!$E$408</definedName>
    <definedName name="SCDPT3_96BEGIN_4" localSheetId="2">'GMIC_2020-Annu_SCDPT3'!$F$408</definedName>
    <definedName name="SCDPT3_96BEGIN_5" localSheetId="2">'GMIC_2020-Annu_SCDPT3'!$G$408</definedName>
    <definedName name="SCDPT3_96BEGIN_6" localSheetId="2">'GMIC_2020-Annu_SCDPT3'!$H$408</definedName>
    <definedName name="SCDPT3_96BEGIN_7" localSheetId="2">'GMIC_2020-Annu_SCDPT3'!$I$408</definedName>
    <definedName name="SCDPT3_96BEGIN_8" localSheetId="2">'GMIC_2020-Annu_SCDPT3'!$J$408</definedName>
    <definedName name="SCDPT3_96BEGIN_9" localSheetId="2">'GMIC_2020-Annu_SCDPT3'!$K$408</definedName>
    <definedName name="SCDPT3_96ENDIN_10" localSheetId="2">'GMIC_2020-Annu_SCDPT3'!$L$410</definedName>
    <definedName name="SCDPT3_96ENDIN_11" localSheetId="2">'GMIC_2020-Annu_SCDPT3'!$M$410</definedName>
    <definedName name="SCDPT3_96ENDIN_12" localSheetId="2">'GMIC_2020-Annu_SCDPT3'!$N$410</definedName>
    <definedName name="SCDPT3_96ENDIN_13" localSheetId="2">'GMIC_2020-Annu_SCDPT3'!$O$410</definedName>
    <definedName name="SCDPT3_96ENDIN_14" localSheetId="2">'GMIC_2020-Annu_SCDPT3'!$P$410</definedName>
    <definedName name="SCDPT3_96ENDIN_2" localSheetId="2">'GMIC_2020-Annu_SCDPT3'!$D$410</definedName>
    <definedName name="SCDPT3_96ENDIN_3" localSheetId="2">'GMIC_2020-Annu_SCDPT3'!$E$410</definedName>
    <definedName name="SCDPT3_96ENDIN_4" localSheetId="2">'GMIC_2020-Annu_SCDPT3'!$F$410</definedName>
    <definedName name="SCDPT3_96ENDIN_5" localSheetId="2">'GMIC_2020-Annu_SCDPT3'!$G$410</definedName>
    <definedName name="SCDPT3_96ENDIN_6" localSheetId="2">'GMIC_2020-Annu_SCDPT3'!$H$410</definedName>
    <definedName name="SCDPT3_96ENDIN_7" localSheetId="2">'GMIC_2020-Annu_SCDPT3'!$I$410</definedName>
    <definedName name="SCDPT3_96ENDIN_8" localSheetId="2">'GMIC_2020-Annu_SCDPT3'!$J$410</definedName>
    <definedName name="SCDPT3_96ENDIN_9" localSheetId="2">'GMIC_2020-Annu_SCDPT3'!$K$410</definedName>
    <definedName name="SCDPT3_9799997_7" localSheetId="2">'GMIC_2020-Annu_SCDPT3'!$I$412</definedName>
    <definedName name="SCDPT3_9799997_9" localSheetId="2">'GMIC_2020-Annu_SCDPT3'!$K$412</definedName>
    <definedName name="SCDPT3_9799998_7" localSheetId="2">'GMIC_2020-Annu_SCDPT3'!$I$413</definedName>
    <definedName name="SCDPT3_9799998_9" localSheetId="2">'GMIC_2020-Annu_SCDPT3'!$K$413</definedName>
    <definedName name="SCDPT3_9799999_7" localSheetId="2">'GMIC_2020-Annu_SCDPT3'!$I$414</definedName>
    <definedName name="SCDPT3_9799999_9" localSheetId="2">'GMIC_2020-Annu_SCDPT3'!$K$414</definedName>
    <definedName name="SCDPT3_9899999_7" localSheetId="2">'GMIC_2020-Annu_SCDPT3'!$I$415</definedName>
    <definedName name="SCDPT3_9899999_9" localSheetId="2">'GMIC_2020-Annu_SCDPT3'!$K$415</definedName>
    <definedName name="SCDPT3_9999999_7" localSheetId="2">'GMIC_2020-Annu_SCDPT3'!$I$416</definedName>
    <definedName name="SCDPT3_9999999_9" localSheetId="2">'GMIC_2020-Annu_SCDPT3'!$K$416</definedName>
    <definedName name="SCDPT4_0500000_Range" localSheetId="3">'GMIC_2020-Annu_SCDPT4'!$B$7:$AB$11</definedName>
    <definedName name="SCDPT4_0500001_1" localSheetId="3">'GMIC_2020-Annu_SCDPT4'!$C$8</definedName>
    <definedName name="SCDPT4_0500001_10" localSheetId="3">'GMIC_2020-Annu_SCDPT4'!$L$8</definedName>
    <definedName name="SCDPT4_0500001_11" localSheetId="3">'GMIC_2020-Annu_SCDPT4'!$M$8</definedName>
    <definedName name="SCDPT4_0500001_12" localSheetId="3">'GMIC_2020-Annu_SCDPT4'!$N$8</definedName>
    <definedName name="SCDPT4_0500001_13" localSheetId="3">'GMIC_2020-Annu_SCDPT4'!$O$8</definedName>
    <definedName name="SCDPT4_0500001_14" localSheetId="3">'GMIC_2020-Annu_SCDPT4'!$P$8</definedName>
    <definedName name="SCDPT4_0500001_15" localSheetId="3">'GMIC_2020-Annu_SCDPT4'!$Q$8</definedName>
    <definedName name="SCDPT4_0500001_16" localSheetId="3">'GMIC_2020-Annu_SCDPT4'!$R$8</definedName>
    <definedName name="SCDPT4_0500001_17" localSheetId="3">'GMIC_2020-Annu_SCDPT4'!$S$8</definedName>
    <definedName name="SCDPT4_0500001_18" localSheetId="3">'GMIC_2020-Annu_SCDPT4'!$T$8</definedName>
    <definedName name="SCDPT4_0500001_19" localSheetId="3">'GMIC_2020-Annu_SCDPT4'!$U$8</definedName>
    <definedName name="SCDPT4_0500001_2" localSheetId="3">'GMIC_2020-Annu_SCDPT4'!$D$8</definedName>
    <definedName name="SCDPT4_0500001_20" localSheetId="3">'GMIC_2020-Annu_SCDPT4'!$V$8</definedName>
    <definedName name="SCDPT4_0500001_21" localSheetId="3">'GMIC_2020-Annu_SCDPT4'!$W$8</definedName>
    <definedName name="SCDPT4_0500001_23" localSheetId="3">'GMIC_2020-Annu_SCDPT4'!$Y$8</definedName>
    <definedName name="SCDPT4_0500001_24" localSheetId="3">'GMIC_2020-Annu_SCDPT4'!$Z$8</definedName>
    <definedName name="SCDPT4_0500001_25" localSheetId="3">'GMIC_2020-Annu_SCDPT4'!$AA$8</definedName>
    <definedName name="SCDPT4_0500001_26" localSheetId="3">'GMIC_2020-Annu_SCDPT4'!$AB$8</definedName>
    <definedName name="SCDPT4_0500001_3" localSheetId="3">'GMIC_2020-Annu_SCDPT4'!$E$8</definedName>
    <definedName name="SCDPT4_0500001_4" localSheetId="3">'GMIC_2020-Annu_SCDPT4'!$F$8</definedName>
    <definedName name="SCDPT4_0500001_5" localSheetId="3">'GMIC_2020-Annu_SCDPT4'!$G$8</definedName>
    <definedName name="SCDPT4_0500001_7" localSheetId="3">'GMIC_2020-Annu_SCDPT4'!$I$8</definedName>
    <definedName name="SCDPT4_0500001_8" localSheetId="3">'GMIC_2020-Annu_SCDPT4'!$J$8</definedName>
    <definedName name="SCDPT4_0500001_9" localSheetId="3">'GMIC_2020-Annu_SCDPT4'!$K$8</definedName>
    <definedName name="SCDPT4_0599999_10" localSheetId="3">'GMIC_2020-Annu_SCDPT4'!$L$12</definedName>
    <definedName name="SCDPT4_0599999_11" localSheetId="3">'GMIC_2020-Annu_SCDPT4'!$M$12</definedName>
    <definedName name="SCDPT4_0599999_12" localSheetId="3">'GMIC_2020-Annu_SCDPT4'!$N$12</definedName>
    <definedName name="SCDPT4_0599999_13" localSheetId="3">'GMIC_2020-Annu_SCDPT4'!$O$12</definedName>
    <definedName name="SCDPT4_0599999_14" localSheetId="3">'GMIC_2020-Annu_SCDPT4'!$P$12</definedName>
    <definedName name="SCDPT4_0599999_15" localSheetId="3">'GMIC_2020-Annu_SCDPT4'!$Q$12</definedName>
    <definedName name="SCDPT4_0599999_16" localSheetId="3">'GMIC_2020-Annu_SCDPT4'!$R$12</definedName>
    <definedName name="SCDPT4_0599999_17" localSheetId="3">'GMIC_2020-Annu_SCDPT4'!$S$12</definedName>
    <definedName name="SCDPT4_0599999_18" localSheetId="3">'GMIC_2020-Annu_SCDPT4'!$T$12</definedName>
    <definedName name="SCDPT4_0599999_19" localSheetId="3">'GMIC_2020-Annu_SCDPT4'!$U$12</definedName>
    <definedName name="SCDPT4_0599999_20" localSheetId="3">'GMIC_2020-Annu_SCDPT4'!$V$12</definedName>
    <definedName name="SCDPT4_0599999_7" localSheetId="3">'GMIC_2020-Annu_SCDPT4'!$I$12</definedName>
    <definedName name="SCDPT4_0599999_8" localSheetId="3">'GMIC_2020-Annu_SCDPT4'!$J$12</definedName>
    <definedName name="SCDPT4_0599999_9" localSheetId="3">'GMIC_2020-Annu_SCDPT4'!$K$12</definedName>
    <definedName name="SCDPT4_05BEGIN_1" localSheetId="3">'GMIC_2020-Annu_SCDPT4'!$C$7</definedName>
    <definedName name="SCDPT4_05BEGIN_10" localSheetId="3">'GMIC_2020-Annu_SCDPT4'!$L$7</definedName>
    <definedName name="SCDPT4_05BEGIN_11" localSheetId="3">'GMIC_2020-Annu_SCDPT4'!$M$7</definedName>
    <definedName name="SCDPT4_05BEGIN_12" localSheetId="3">'GMIC_2020-Annu_SCDPT4'!$N$7</definedName>
    <definedName name="SCDPT4_05BEGIN_13" localSheetId="3">'GMIC_2020-Annu_SCDPT4'!$O$7</definedName>
    <definedName name="SCDPT4_05BEGIN_14" localSheetId="3">'GMIC_2020-Annu_SCDPT4'!$P$7</definedName>
    <definedName name="SCDPT4_05BEGIN_15" localSheetId="3">'GMIC_2020-Annu_SCDPT4'!$Q$7</definedName>
    <definedName name="SCDPT4_05BEGIN_16" localSheetId="3">'GMIC_2020-Annu_SCDPT4'!$R$7</definedName>
    <definedName name="SCDPT4_05BEGIN_17" localSheetId="3">'GMIC_2020-Annu_SCDPT4'!$S$7</definedName>
    <definedName name="SCDPT4_05BEGIN_18" localSheetId="3">'GMIC_2020-Annu_SCDPT4'!$T$7</definedName>
    <definedName name="SCDPT4_05BEGIN_19" localSheetId="3">'GMIC_2020-Annu_SCDPT4'!$U$7</definedName>
    <definedName name="SCDPT4_05BEGIN_2" localSheetId="3">'GMIC_2020-Annu_SCDPT4'!$D$7</definedName>
    <definedName name="SCDPT4_05BEGIN_20" localSheetId="3">'GMIC_2020-Annu_SCDPT4'!$V$7</definedName>
    <definedName name="SCDPT4_05BEGIN_21" localSheetId="3">'GMIC_2020-Annu_SCDPT4'!$W$7</definedName>
    <definedName name="SCDPT4_05BEGIN_22" localSheetId="3">'GMIC_2020-Annu_SCDPT4'!$X$7</definedName>
    <definedName name="SCDPT4_05BEGIN_23" localSheetId="3">'GMIC_2020-Annu_SCDPT4'!$Y$7</definedName>
    <definedName name="SCDPT4_05BEGIN_24" localSheetId="3">'GMIC_2020-Annu_SCDPT4'!$Z$7</definedName>
    <definedName name="SCDPT4_05BEGIN_25" localSheetId="3">'GMIC_2020-Annu_SCDPT4'!$AA$7</definedName>
    <definedName name="SCDPT4_05BEGIN_26" localSheetId="3">'GMIC_2020-Annu_SCDPT4'!$AB$7</definedName>
    <definedName name="SCDPT4_05BEGIN_3" localSheetId="3">'GMIC_2020-Annu_SCDPT4'!$E$7</definedName>
    <definedName name="SCDPT4_05BEGIN_4" localSheetId="3">'GMIC_2020-Annu_SCDPT4'!$F$7</definedName>
    <definedName name="SCDPT4_05BEGIN_5" localSheetId="3">'GMIC_2020-Annu_SCDPT4'!$G$7</definedName>
    <definedName name="SCDPT4_05BEGIN_6" localSheetId="3">'GMIC_2020-Annu_SCDPT4'!$H$7</definedName>
    <definedName name="SCDPT4_05BEGIN_7" localSheetId="3">'GMIC_2020-Annu_SCDPT4'!$I$7</definedName>
    <definedName name="SCDPT4_05BEGIN_8" localSheetId="3">'GMIC_2020-Annu_SCDPT4'!$J$7</definedName>
    <definedName name="SCDPT4_05BEGIN_9" localSheetId="3">'GMIC_2020-Annu_SCDPT4'!$K$7</definedName>
    <definedName name="SCDPT4_05ENDIN_10" localSheetId="3">'GMIC_2020-Annu_SCDPT4'!$L$11</definedName>
    <definedName name="SCDPT4_05ENDIN_11" localSheetId="3">'GMIC_2020-Annu_SCDPT4'!$M$11</definedName>
    <definedName name="SCDPT4_05ENDIN_12" localSheetId="3">'GMIC_2020-Annu_SCDPT4'!$N$11</definedName>
    <definedName name="SCDPT4_05ENDIN_13" localSheetId="3">'GMIC_2020-Annu_SCDPT4'!$O$11</definedName>
    <definedName name="SCDPT4_05ENDIN_14" localSheetId="3">'GMIC_2020-Annu_SCDPT4'!$P$11</definedName>
    <definedName name="SCDPT4_05ENDIN_15" localSheetId="3">'GMIC_2020-Annu_SCDPT4'!$Q$11</definedName>
    <definedName name="SCDPT4_05ENDIN_16" localSheetId="3">'GMIC_2020-Annu_SCDPT4'!$R$11</definedName>
    <definedName name="SCDPT4_05ENDIN_17" localSheetId="3">'GMIC_2020-Annu_SCDPT4'!$S$11</definedName>
    <definedName name="SCDPT4_05ENDIN_18" localSheetId="3">'GMIC_2020-Annu_SCDPT4'!$T$11</definedName>
    <definedName name="SCDPT4_05ENDIN_19" localSheetId="3">'GMIC_2020-Annu_SCDPT4'!$U$11</definedName>
    <definedName name="SCDPT4_05ENDIN_2" localSheetId="3">'GMIC_2020-Annu_SCDPT4'!$D$11</definedName>
    <definedName name="SCDPT4_05ENDIN_20" localSheetId="3">'GMIC_2020-Annu_SCDPT4'!$V$11</definedName>
    <definedName name="SCDPT4_05ENDIN_21" localSheetId="3">'GMIC_2020-Annu_SCDPT4'!$W$11</definedName>
    <definedName name="SCDPT4_05ENDIN_22" localSheetId="3">'GMIC_2020-Annu_SCDPT4'!$X$11</definedName>
    <definedName name="SCDPT4_05ENDIN_23" localSheetId="3">'GMIC_2020-Annu_SCDPT4'!$Y$11</definedName>
    <definedName name="SCDPT4_05ENDIN_24" localSheetId="3">'GMIC_2020-Annu_SCDPT4'!$Z$11</definedName>
    <definedName name="SCDPT4_05ENDIN_25" localSheetId="3">'GMIC_2020-Annu_SCDPT4'!$AA$11</definedName>
    <definedName name="SCDPT4_05ENDIN_26" localSheetId="3">'GMIC_2020-Annu_SCDPT4'!$AB$11</definedName>
    <definedName name="SCDPT4_05ENDIN_3" localSheetId="3">'GMIC_2020-Annu_SCDPT4'!$E$11</definedName>
    <definedName name="SCDPT4_05ENDIN_4" localSheetId="3">'GMIC_2020-Annu_SCDPT4'!$F$11</definedName>
    <definedName name="SCDPT4_05ENDIN_5" localSheetId="3">'GMIC_2020-Annu_SCDPT4'!$G$11</definedName>
    <definedName name="SCDPT4_05ENDIN_6" localSheetId="3">'GMIC_2020-Annu_SCDPT4'!$H$11</definedName>
    <definedName name="SCDPT4_05ENDIN_7" localSheetId="3">'GMIC_2020-Annu_SCDPT4'!$I$11</definedName>
    <definedName name="SCDPT4_05ENDIN_8" localSheetId="3">'GMIC_2020-Annu_SCDPT4'!$J$11</definedName>
    <definedName name="SCDPT4_05ENDIN_9" localSheetId="3">'GMIC_2020-Annu_SCDPT4'!$K$11</definedName>
    <definedName name="SCDPT4_1000000_Range" localSheetId="3">'GMIC_2020-Annu_SCDPT4'!$B$13:$AB$15</definedName>
    <definedName name="SCDPT4_1099999_10" localSheetId="3">'GMIC_2020-Annu_SCDPT4'!$L$16</definedName>
    <definedName name="SCDPT4_1099999_11" localSheetId="3">'GMIC_2020-Annu_SCDPT4'!$M$16</definedName>
    <definedName name="SCDPT4_1099999_12" localSheetId="3">'GMIC_2020-Annu_SCDPT4'!$N$16</definedName>
    <definedName name="SCDPT4_1099999_13" localSheetId="3">'GMIC_2020-Annu_SCDPT4'!$O$16</definedName>
    <definedName name="SCDPT4_1099999_14" localSheetId="3">'GMIC_2020-Annu_SCDPT4'!$P$16</definedName>
    <definedName name="SCDPT4_1099999_15" localSheetId="3">'GMIC_2020-Annu_SCDPT4'!$Q$16</definedName>
    <definedName name="SCDPT4_1099999_16" localSheetId="3">'GMIC_2020-Annu_SCDPT4'!$R$16</definedName>
    <definedName name="SCDPT4_1099999_17" localSheetId="3">'GMIC_2020-Annu_SCDPT4'!$S$16</definedName>
    <definedName name="SCDPT4_1099999_18" localSheetId="3">'GMIC_2020-Annu_SCDPT4'!$T$16</definedName>
    <definedName name="SCDPT4_1099999_19" localSheetId="3">'GMIC_2020-Annu_SCDPT4'!$U$16</definedName>
    <definedName name="SCDPT4_1099999_20" localSheetId="3">'GMIC_2020-Annu_SCDPT4'!$V$16</definedName>
    <definedName name="SCDPT4_1099999_7" localSheetId="3">'GMIC_2020-Annu_SCDPT4'!$I$16</definedName>
    <definedName name="SCDPT4_1099999_8" localSheetId="3">'GMIC_2020-Annu_SCDPT4'!$J$16</definedName>
    <definedName name="SCDPT4_1099999_9" localSheetId="3">'GMIC_2020-Annu_SCDPT4'!$K$16</definedName>
    <definedName name="SCDPT4_10BEGIN_1" localSheetId="3">'GMIC_2020-Annu_SCDPT4'!$C$13</definedName>
    <definedName name="SCDPT4_10BEGIN_10" localSheetId="3">'GMIC_2020-Annu_SCDPT4'!$L$13</definedName>
    <definedName name="SCDPT4_10BEGIN_11" localSheetId="3">'GMIC_2020-Annu_SCDPT4'!$M$13</definedName>
    <definedName name="SCDPT4_10BEGIN_12" localSheetId="3">'GMIC_2020-Annu_SCDPT4'!$N$13</definedName>
    <definedName name="SCDPT4_10BEGIN_13" localSheetId="3">'GMIC_2020-Annu_SCDPT4'!$O$13</definedName>
    <definedName name="SCDPT4_10BEGIN_14" localSheetId="3">'GMIC_2020-Annu_SCDPT4'!$P$13</definedName>
    <definedName name="SCDPT4_10BEGIN_15" localSheetId="3">'GMIC_2020-Annu_SCDPT4'!$Q$13</definedName>
    <definedName name="SCDPT4_10BEGIN_16" localSheetId="3">'GMIC_2020-Annu_SCDPT4'!$R$13</definedName>
    <definedName name="SCDPT4_10BEGIN_17" localSheetId="3">'GMIC_2020-Annu_SCDPT4'!$S$13</definedName>
    <definedName name="SCDPT4_10BEGIN_18" localSheetId="3">'GMIC_2020-Annu_SCDPT4'!$T$13</definedName>
    <definedName name="SCDPT4_10BEGIN_19" localSheetId="3">'GMIC_2020-Annu_SCDPT4'!$U$13</definedName>
    <definedName name="SCDPT4_10BEGIN_2" localSheetId="3">'GMIC_2020-Annu_SCDPT4'!$D$13</definedName>
    <definedName name="SCDPT4_10BEGIN_20" localSheetId="3">'GMIC_2020-Annu_SCDPT4'!$V$13</definedName>
    <definedName name="SCDPT4_10BEGIN_21" localSheetId="3">'GMIC_2020-Annu_SCDPT4'!$W$13</definedName>
    <definedName name="SCDPT4_10BEGIN_22" localSheetId="3">'GMIC_2020-Annu_SCDPT4'!$X$13</definedName>
    <definedName name="SCDPT4_10BEGIN_23" localSheetId="3">'GMIC_2020-Annu_SCDPT4'!$Y$13</definedName>
    <definedName name="SCDPT4_10BEGIN_24" localSheetId="3">'GMIC_2020-Annu_SCDPT4'!$Z$13</definedName>
    <definedName name="SCDPT4_10BEGIN_25" localSheetId="3">'GMIC_2020-Annu_SCDPT4'!$AA$13</definedName>
    <definedName name="SCDPT4_10BEGIN_26" localSheetId="3">'GMIC_2020-Annu_SCDPT4'!$AB$13</definedName>
    <definedName name="SCDPT4_10BEGIN_3" localSheetId="3">'GMIC_2020-Annu_SCDPT4'!$E$13</definedName>
    <definedName name="SCDPT4_10BEGIN_4" localSheetId="3">'GMIC_2020-Annu_SCDPT4'!$F$13</definedName>
    <definedName name="SCDPT4_10BEGIN_5" localSheetId="3">'GMIC_2020-Annu_SCDPT4'!$G$13</definedName>
    <definedName name="SCDPT4_10BEGIN_6" localSheetId="3">'GMIC_2020-Annu_SCDPT4'!$H$13</definedName>
    <definedName name="SCDPT4_10BEGIN_7" localSheetId="3">'GMIC_2020-Annu_SCDPT4'!$I$13</definedName>
    <definedName name="SCDPT4_10BEGIN_8" localSheetId="3">'GMIC_2020-Annu_SCDPT4'!$J$13</definedName>
    <definedName name="SCDPT4_10BEGIN_9" localSheetId="3">'GMIC_2020-Annu_SCDPT4'!$K$13</definedName>
    <definedName name="SCDPT4_10ENDIN_10" localSheetId="3">'GMIC_2020-Annu_SCDPT4'!$L$15</definedName>
    <definedName name="SCDPT4_10ENDIN_11" localSheetId="3">'GMIC_2020-Annu_SCDPT4'!$M$15</definedName>
    <definedName name="SCDPT4_10ENDIN_12" localSheetId="3">'GMIC_2020-Annu_SCDPT4'!$N$15</definedName>
    <definedName name="SCDPT4_10ENDIN_13" localSheetId="3">'GMIC_2020-Annu_SCDPT4'!$O$15</definedName>
    <definedName name="SCDPT4_10ENDIN_14" localSheetId="3">'GMIC_2020-Annu_SCDPT4'!$P$15</definedName>
    <definedName name="SCDPT4_10ENDIN_15" localSheetId="3">'GMIC_2020-Annu_SCDPT4'!$Q$15</definedName>
    <definedName name="SCDPT4_10ENDIN_16" localSheetId="3">'GMIC_2020-Annu_SCDPT4'!$R$15</definedName>
    <definedName name="SCDPT4_10ENDIN_17" localSheetId="3">'GMIC_2020-Annu_SCDPT4'!$S$15</definedName>
    <definedName name="SCDPT4_10ENDIN_18" localSheetId="3">'GMIC_2020-Annu_SCDPT4'!$T$15</definedName>
    <definedName name="SCDPT4_10ENDIN_19" localSheetId="3">'GMIC_2020-Annu_SCDPT4'!$U$15</definedName>
    <definedName name="SCDPT4_10ENDIN_2" localSheetId="3">'GMIC_2020-Annu_SCDPT4'!$D$15</definedName>
    <definedName name="SCDPT4_10ENDIN_20" localSheetId="3">'GMIC_2020-Annu_SCDPT4'!$V$15</definedName>
    <definedName name="SCDPT4_10ENDIN_21" localSheetId="3">'GMIC_2020-Annu_SCDPT4'!$W$15</definedName>
    <definedName name="SCDPT4_10ENDIN_22" localSheetId="3">'GMIC_2020-Annu_SCDPT4'!$X$15</definedName>
    <definedName name="SCDPT4_10ENDIN_23" localSheetId="3">'GMIC_2020-Annu_SCDPT4'!$Y$15</definedName>
    <definedName name="SCDPT4_10ENDIN_24" localSheetId="3">'GMIC_2020-Annu_SCDPT4'!$Z$15</definedName>
    <definedName name="SCDPT4_10ENDIN_25" localSheetId="3">'GMIC_2020-Annu_SCDPT4'!$AA$15</definedName>
    <definedName name="SCDPT4_10ENDIN_26" localSheetId="3">'GMIC_2020-Annu_SCDPT4'!$AB$15</definedName>
    <definedName name="SCDPT4_10ENDIN_3" localSheetId="3">'GMIC_2020-Annu_SCDPT4'!$E$15</definedName>
    <definedName name="SCDPT4_10ENDIN_4" localSheetId="3">'GMIC_2020-Annu_SCDPT4'!$F$15</definedName>
    <definedName name="SCDPT4_10ENDIN_5" localSheetId="3">'GMIC_2020-Annu_SCDPT4'!$G$15</definedName>
    <definedName name="SCDPT4_10ENDIN_6" localSheetId="3">'GMIC_2020-Annu_SCDPT4'!$H$15</definedName>
    <definedName name="SCDPT4_10ENDIN_7" localSheetId="3">'GMIC_2020-Annu_SCDPT4'!$I$15</definedName>
    <definedName name="SCDPT4_10ENDIN_8" localSheetId="3">'GMIC_2020-Annu_SCDPT4'!$J$15</definedName>
    <definedName name="SCDPT4_10ENDIN_9" localSheetId="3">'GMIC_2020-Annu_SCDPT4'!$K$15</definedName>
    <definedName name="SCDPT4_1700000_Range" localSheetId="3">'GMIC_2020-Annu_SCDPT4'!$B$17:$AB$19</definedName>
    <definedName name="SCDPT4_1799999_10" localSheetId="3">'GMIC_2020-Annu_SCDPT4'!$L$20</definedName>
    <definedName name="SCDPT4_1799999_11" localSheetId="3">'GMIC_2020-Annu_SCDPT4'!$M$20</definedName>
    <definedName name="SCDPT4_1799999_12" localSheetId="3">'GMIC_2020-Annu_SCDPT4'!$N$20</definedName>
    <definedName name="SCDPT4_1799999_13" localSheetId="3">'GMIC_2020-Annu_SCDPT4'!$O$20</definedName>
    <definedName name="SCDPT4_1799999_14" localSheetId="3">'GMIC_2020-Annu_SCDPT4'!$P$20</definedName>
    <definedName name="SCDPT4_1799999_15" localSheetId="3">'GMIC_2020-Annu_SCDPT4'!$Q$20</definedName>
    <definedName name="SCDPT4_1799999_16" localSheetId="3">'GMIC_2020-Annu_SCDPT4'!$R$20</definedName>
    <definedName name="SCDPT4_1799999_17" localSheetId="3">'GMIC_2020-Annu_SCDPT4'!$S$20</definedName>
    <definedName name="SCDPT4_1799999_18" localSheetId="3">'GMIC_2020-Annu_SCDPT4'!$T$20</definedName>
    <definedName name="SCDPT4_1799999_19" localSheetId="3">'GMIC_2020-Annu_SCDPT4'!$U$20</definedName>
    <definedName name="SCDPT4_1799999_20" localSheetId="3">'GMIC_2020-Annu_SCDPT4'!$V$20</definedName>
    <definedName name="SCDPT4_1799999_7" localSheetId="3">'GMIC_2020-Annu_SCDPT4'!$I$20</definedName>
    <definedName name="SCDPT4_1799999_8" localSheetId="3">'GMIC_2020-Annu_SCDPT4'!$J$20</definedName>
    <definedName name="SCDPT4_1799999_9" localSheetId="3">'GMIC_2020-Annu_SCDPT4'!$K$20</definedName>
    <definedName name="SCDPT4_17BEGIN_1" localSheetId="3">'GMIC_2020-Annu_SCDPT4'!$C$17</definedName>
    <definedName name="SCDPT4_17BEGIN_10" localSheetId="3">'GMIC_2020-Annu_SCDPT4'!$L$17</definedName>
    <definedName name="SCDPT4_17BEGIN_11" localSheetId="3">'GMIC_2020-Annu_SCDPT4'!$M$17</definedName>
    <definedName name="SCDPT4_17BEGIN_12" localSheetId="3">'GMIC_2020-Annu_SCDPT4'!$N$17</definedName>
    <definedName name="SCDPT4_17BEGIN_13" localSheetId="3">'GMIC_2020-Annu_SCDPT4'!$O$17</definedName>
    <definedName name="SCDPT4_17BEGIN_14" localSheetId="3">'GMIC_2020-Annu_SCDPT4'!$P$17</definedName>
    <definedName name="SCDPT4_17BEGIN_15" localSheetId="3">'GMIC_2020-Annu_SCDPT4'!$Q$17</definedName>
    <definedName name="SCDPT4_17BEGIN_16" localSheetId="3">'GMIC_2020-Annu_SCDPT4'!$R$17</definedName>
    <definedName name="SCDPT4_17BEGIN_17" localSheetId="3">'GMIC_2020-Annu_SCDPT4'!$S$17</definedName>
    <definedName name="SCDPT4_17BEGIN_18" localSheetId="3">'GMIC_2020-Annu_SCDPT4'!$T$17</definedName>
    <definedName name="SCDPT4_17BEGIN_19" localSheetId="3">'GMIC_2020-Annu_SCDPT4'!$U$17</definedName>
    <definedName name="SCDPT4_17BEGIN_2" localSheetId="3">'GMIC_2020-Annu_SCDPT4'!$D$17</definedName>
    <definedName name="SCDPT4_17BEGIN_20" localSheetId="3">'GMIC_2020-Annu_SCDPT4'!$V$17</definedName>
    <definedName name="SCDPT4_17BEGIN_21" localSheetId="3">'GMIC_2020-Annu_SCDPT4'!$W$17</definedName>
    <definedName name="SCDPT4_17BEGIN_22" localSheetId="3">'GMIC_2020-Annu_SCDPT4'!$X$17</definedName>
    <definedName name="SCDPT4_17BEGIN_23" localSheetId="3">'GMIC_2020-Annu_SCDPT4'!$Y$17</definedName>
    <definedName name="SCDPT4_17BEGIN_24" localSheetId="3">'GMIC_2020-Annu_SCDPT4'!$Z$17</definedName>
    <definedName name="SCDPT4_17BEGIN_25" localSheetId="3">'GMIC_2020-Annu_SCDPT4'!$AA$17</definedName>
    <definedName name="SCDPT4_17BEGIN_26" localSheetId="3">'GMIC_2020-Annu_SCDPT4'!$AB$17</definedName>
    <definedName name="SCDPT4_17BEGIN_3" localSheetId="3">'GMIC_2020-Annu_SCDPT4'!$E$17</definedName>
    <definedName name="SCDPT4_17BEGIN_4" localSheetId="3">'GMIC_2020-Annu_SCDPT4'!$F$17</definedName>
    <definedName name="SCDPT4_17BEGIN_5" localSheetId="3">'GMIC_2020-Annu_SCDPT4'!$G$17</definedName>
    <definedName name="SCDPT4_17BEGIN_6" localSheetId="3">'GMIC_2020-Annu_SCDPT4'!$H$17</definedName>
    <definedName name="SCDPT4_17BEGIN_7" localSheetId="3">'GMIC_2020-Annu_SCDPT4'!$I$17</definedName>
    <definedName name="SCDPT4_17BEGIN_8" localSheetId="3">'GMIC_2020-Annu_SCDPT4'!$J$17</definedName>
    <definedName name="SCDPT4_17BEGIN_9" localSheetId="3">'GMIC_2020-Annu_SCDPT4'!$K$17</definedName>
    <definedName name="SCDPT4_17ENDIN_10" localSheetId="3">'GMIC_2020-Annu_SCDPT4'!$L$19</definedName>
    <definedName name="SCDPT4_17ENDIN_11" localSheetId="3">'GMIC_2020-Annu_SCDPT4'!$M$19</definedName>
    <definedName name="SCDPT4_17ENDIN_12" localSheetId="3">'GMIC_2020-Annu_SCDPT4'!$N$19</definedName>
    <definedName name="SCDPT4_17ENDIN_13" localSheetId="3">'GMIC_2020-Annu_SCDPT4'!$O$19</definedName>
    <definedName name="SCDPT4_17ENDIN_14" localSheetId="3">'GMIC_2020-Annu_SCDPT4'!$P$19</definedName>
    <definedName name="SCDPT4_17ENDIN_15" localSheetId="3">'GMIC_2020-Annu_SCDPT4'!$Q$19</definedName>
    <definedName name="SCDPT4_17ENDIN_16" localSheetId="3">'GMIC_2020-Annu_SCDPT4'!$R$19</definedName>
    <definedName name="SCDPT4_17ENDIN_17" localSheetId="3">'GMIC_2020-Annu_SCDPT4'!$S$19</definedName>
    <definedName name="SCDPT4_17ENDIN_18" localSheetId="3">'GMIC_2020-Annu_SCDPT4'!$T$19</definedName>
    <definedName name="SCDPT4_17ENDIN_19" localSheetId="3">'GMIC_2020-Annu_SCDPT4'!$U$19</definedName>
    <definedName name="SCDPT4_17ENDIN_2" localSheetId="3">'GMIC_2020-Annu_SCDPT4'!$D$19</definedName>
    <definedName name="SCDPT4_17ENDIN_20" localSheetId="3">'GMIC_2020-Annu_SCDPT4'!$V$19</definedName>
    <definedName name="SCDPT4_17ENDIN_21" localSheetId="3">'GMIC_2020-Annu_SCDPT4'!$W$19</definedName>
    <definedName name="SCDPT4_17ENDIN_22" localSheetId="3">'GMIC_2020-Annu_SCDPT4'!$X$19</definedName>
    <definedName name="SCDPT4_17ENDIN_23" localSheetId="3">'GMIC_2020-Annu_SCDPT4'!$Y$19</definedName>
    <definedName name="SCDPT4_17ENDIN_24" localSheetId="3">'GMIC_2020-Annu_SCDPT4'!$Z$19</definedName>
    <definedName name="SCDPT4_17ENDIN_25" localSheetId="3">'GMIC_2020-Annu_SCDPT4'!$AA$19</definedName>
    <definedName name="SCDPT4_17ENDIN_26" localSheetId="3">'GMIC_2020-Annu_SCDPT4'!$AB$19</definedName>
    <definedName name="SCDPT4_17ENDIN_3" localSheetId="3">'GMIC_2020-Annu_SCDPT4'!$E$19</definedName>
    <definedName name="SCDPT4_17ENDIN_4" localSheetId="3">'GMIC_2020-Annu_SCDPT4'!$F$19</definedName>
    <definedName name="SCDPT4_17ENDIN_5" localSheetId="3">'GMIC_2020-Annu_SCDPT4'!$G$19</definedName>
    <definedName name="SCDPT4_17ENDIN_6" localSheetId="3">'GMIC_2020-Annu_SCDPT4'!$H$19</definedName>
    <definedName name="SCDPT4_17ENDIN_7" localSheetId="3">'GMIC_2020-Annu_SCDPT4'!$I$19</definedName>
    <definedName name="SCDPT4_17ENDIN_8" localSheetId="3">'GMIC_2020-Annu_SCDPT4'!$J$19</definedName>
    <definedName name="SCDPT4_17ENDIN_9" localSheetId="3">'GMIC_2020-Annu_SCDPT4'!$K$19</definedName>
    <definedName name="SCDPT4_2400000_Range" localSheetId="3">'GMIC_2020-Annu_SCDPT4'!$B$21:$AB$25</definedName>
    <definedName name="SCDPT4_2400001_1" localSheetId="3">'GMIC_2020-Annu_SCDPT4'!$C$22</definedName>
    <definedName name="SCDPT4_2400001_10" localSheetId="3">'GMIC_2020-Annu_SCDPT4'!$L$22</definedName>
    <definedName name="SCDPT4_2400001_11" localSheetId="3">'GMIC_2020-Annu_SCDPT4'!$M$22</definedName>
    <definedName name="SCDPT4_2400001_12" localSheetId="3">'GMIC_2020-Annu_SCDPT4'!$N$22</definedName>
    <definedName name="SCDPT4_2400001_13" localSheetId="3">'GMIC_2020-Annu_SCDPT4'!$O$22</definedName>
    <definedName name="SCDPT4_2400001_14" localSheetId="3">'GMIC_2020-Annu_SCDPT4'!$P$22</definedName>
    <definedName name="SCDPT4_2400001_15" localSheetId="3">'GMIC_2020-Annu_SCDPT4'!$Q$22</definedName>
    <definedName name="SCDPT4_2400001_16" localSheetId="3">'GMIC_2020-Annu_SCDPT4'!$R$22</definedName>
    <definedName name="SCDPT4_2400001_17" localSheetId="3">'GMIC_2020-Annu_SCDPT4'!$S$22</definedName>
    <definedName name="SCDPT4_2400001_18" localSheetId="3">'GMIC_2020-Annu_SCDPT4'!$T$22</definedName>
    <definedName name="SCDPT4_2400001_19" localSheetId="3">'GMIC_2020-Annu_SCDPT4'!$U$22</definedName>
    <definedName name="SCDPT4_2400001_2" localSheetId="3">'GMIC_2020-Annu_SCDPT4'!$D$22</definedName>
    <definedName name="SCDPT4_2400001_20" localSheetId="3">'GMIC_2020-Annu_SCDPT4'!$V$22</definedName>
    <definedName name="SCDPT4_2400001_21" localSheetId="3">'GMIC_2020-Annu_SCDPT4'!$W$22</definedName>
    <definedName name="SCDPT4_2400001_22" localSheetId="3">'GMIC_2020-Annu_SCDPT4'!$X$22</definedName>
    <definedName name="SCDPT4_2400001_23" localSheetId="3">'GMIC_2020-Annu_SCDPT4'!$Y$22</definedName>
    <definedName name="SCDPT4_2400001_24" localSheetId="3">'GMIC_2020-Annu_SCDPT4'!$Z$22</definedName>
    <definedName name="SCDPT4_2400001_25" localSheetId="3">'GMIC_2020-Annu_SCDPT4'!$AA$22</definedName>
    <definedName name="SCDPT4_2400001_26" localSheetId="3">'GMIC_2020-Annu_SCDPT4'!$AB$22</definedName>
    <definedName name="SCDPT4_2400001_3" localSheetId="3">'GMIC_2020-Annu_SCDPT4'!$E$22</definedName>
    <definedName name="SCDPT4_2400001_4" localSheetId="3">'GMIC_2020-Annu_SCDPT4'!$F$22</definedName>
    <definedName name="SCDPT4_2400001_5" localSheetId="3">'GMIC_2020-Annu_SCDPT4'!$G$22</definedName>
    <definedName name="SCDPT4_2400001_7" localSheetId="3">'GMIC_2020-Annu_SCDPT4'!$I$22</definedName>
    <definedName name="SCDPT4_2400001_8" localSheetId="3">'GMIC_2020-Annu_SCDPT4'!$J$22</definedName>
    <definedName name="SCDPT4_2400001_9" localSheetId="3">'GMIC_2020-Annu_SCDPT4'!$K$22</definedName>
    <definedName name="SCDPT4_2499999_10" localSheetId="3">'GMIC_2020-Annu_SCDPT4'!$L$26</definedName>
    <definedName name="SCDPT4_2499999_11" localSheetId="3">'GMIC_2020-Annu_SCDPT4'!$M$26</definedName>
    <definedName name="SCDPT4_2499999_12" localSheetId="3">'GMIC_2020-Annu_SCDPT4'!$N$26</definedName>
    <definedName name="SCDPT4_2499999_13" localSheetId="3">'GMIC_2020-Annu_SCDPT4'!$O$26</definedName>
    <definedName name="SCDPT4_2499999_14" localSheetId="3">'GMIC_2020-Annu_SCDPT4'!$P$26</definedName>
    <definedName name="SCDPT4_2499999_15" localSheetId="3">'GMIC_2020-Annu_SCDPT4'!$Q$26</definedName>
    <definedName name="SCDPT4_2499999_16" localSheetId="3">'GMIC_2020-Annu_SCDPT4'!$R$26</definedName>
    <definedName name="SCDPT4_2499999_17" localSheetId="3">'GMIC_2020-Annu_SCDPT4'!$S$26</definedName>
    <definedName name="SCDPT4_2499999_18" localSheetId="3">'GMIC_2020-Annu_SCDPT4'!$T$26</definedName>
    <definedName name="SCDPT4_2499999_19" localSheetId="3">'GMIC_2020-Annu_SCDPT4'!$U$26</definedName>
    <definedName name="SCDPT4_2499999_20" localSheetId="3">'GMIC_2020-Annu_SCDPT4'!$V$26</definedName>
    <definedName name="SCDPT4_2499999_7" localSheetId="3">'GMIC_2020-Annu_SCDPT4'!$I$26</definedName>
    <definedName name="SCDPT4_2499999_8" localSheetId="3">'GMIC_2020-Annu_SCDPT4'!$J$26</definedName>
    <definedName name="SCDPT4_2499999_9" localSheetId="3">'GMIC_2020-Annu_SCDPT4'!$K$26</definedName>
    <definedName name="SCDPT4_24BEGIN_1" localSheetId="3">'GMIC_2020-Annu_SCDPT4'!$C$21</definedName>
    <definedName name="SCDPT4_24BEGIN_10" localSheetId="3">'GMIC_2020-Annu_SCDPT4'!$L$21</definedName>
    <definedName name="SCDPT4_24BEGIN_11" localSheetId="3">'GMIC_2020-Annu_SCDPT4'!$M$21</definedName>
    <definedName name="SCDPT4_24BEGIN_12" localSheetId="3">'GMIC_2020-Annu_SCDPT4'!$N$21</definedName>
    <definedName name="SCDPT4_24BEGIN_13" localSheetId="3">'GMIC_2020-Annu_SCDPT4'!$O$21</definedName>
    <definedName name="SCDPT4_24BEGIN_14" localSheetId="3">'GMIC_2020-Annu_SCDPT4'!$P$21</definedName>
    <definedName name="SCDPT4_24BEGIN_15" localSheetId="3">'GMIC_2020-Annu_SCDPT4'!$Q$21</definedName>
    <definedName name="SCDPT4_24BEGIN_16" localSheetId="3">'GMIC_2020-Annu_SCDPT4'!$R$21</definedName>
    <definedName name="SCDPT4_24BEGIN_17" localSheetId="3">'GMIC_2020-Annu_SCDPT4'!$S$21</definedName>
    <definedName name="SCDPT4_24BEGIN_18" localSheetId="3">'GMIC_2020-Annu_SCDPT4'!$T$21</definedName>
    <definedName name="SCDPT4_24BEGIN_19" localSheetId="3">'GMIC_2020-Annu_SCDPT4'!$U$21</definedName>
    <definedName name="SCDPT4_24BEGIN_2" localSheetId="3">'GMIC_2020-Annu_SCDPT4'!$D$21</definedName>
    <definedName name="SCDPT4_24BEGIN_20" localSheetId="3">'GMIC_2020-Annu_SCDPT4'!$V$21</definedName>
    <definedName name="SCDPT4_24BEGIN_21" localSheetId="3">'GMIC_2020-Annu_SCDPT4'!$W$21</definedName>
    <definedName name="SCDPT4_24BEGIN_22" localSheetId="3">'GMIC_2020-Annu_SCDPT4'!$X$21</definedName>
    <definedName name="SCDPT4_24BEGIN_23" localSheetId="3">'GMIC_2020-Annu_SCDPT4'!$Y$21</definedName>
    <definedName name="SCDPT4_24BEGIN_24" localSheetId="3">'GMIC_2020-Annu_SCDPT4'!$Z$21</definedName>
    <definedName name="SCDPT4_24BEGIN_25" localSheetId="3">'GMIC_2020-Annu_SCDPT4'!$AA$21</definedName>
    <definedName name="SCDPT4_24BEGIN_26" localSheetId="3">'GMIC_2020-Annu_SCDPT4'!$AB$21</definedName>
    <definedName name="SCDPT4_24BEGIN_3" localSheetId="3">'GMIC_2020-Annu_SCDPT4'!$E$21</definedName>
    <definedName name="SCDPT4_24BEGIN_4" localSheetId="3">'GMIC_2020-Annu_SCDPT4'!$F$21</definedName>
    <definedName name="SCDPT4_24BEGIN_5" localSheetId="3">'GMIC_2020-Annu_SCDPT4'!$G$21</definedName>
    <definedName name="SCDPT4_24BEGIN_6" localSheetId="3">'GMIC_2020-Annu_SCDPT4'!$H$21</definedName>
    <definedName name="SCDPT4_24BEGIN_7" localSheetId="3">'GMIC_2020-Annu_SCDPT4'!$I$21</definedName>
    <definedName name="SCDPT4_24BEGIN_8" localSheetId="3">'GMIC_2020-Annu_SCDPT4'!$J$21</definedName>
    <definedName name="SCDPT4_24BEGIN_9" localSheetId="3">'GMIC_2020-Annu_SCDPT4'!$K$21</definedName>
    <definedName name="SCDPT4_24ENDIN_10" localSheetId="3">'GMIC_2020-Annu_SCDPT4'!$L$25</definedName>
    <definedName name="SCDPT4_24ENDIN_11" localSheetId="3">'GMIC_2020-Annu_SCDPT4'!$M$25</definedName>
    <definedName name="SCDPT4_24ENDIN_12" localSheetId="3">'GMIC_2020-Annu_SCDPT4'!$N$25</definedName>
    <definedName name="SCDPT4_24ENDIN_13" localSheetId="3">'GMIC_2020-Annu_SCDPT4'!$O$25</definedName>
    <definedName name="SCDPT4_24ENDIN_14" localSheetId="3">'GMIC_2020-Annu_SCDPT4'!$P$25</definedName>
    <definedName name="SCDPT4_24ENDIN_15" localSheetId="3">'GMIC_2020-Annu_SCDPT4'!$Q$25</definedName>
    <definedName name="SCDPT4_24ENDIN_16" localSheetId="3">'GMIC_2020-Annu_SCDPT4'!$R$25</definedName>
    <definedName name="SCDPT4_24ENDIN_17" localSheetId="3">'GMIC_2020-Annu_SCDPT4'!$S$25</definedName>
    <definedName name="SCDPT4_24ENDIN_18" localSheetId="3">'GMIC_2020-Annu_SCDPT4'!$T$25</definedName>
    <definedName name="SCDPT4_24ENDIN_19" localSheetId="3">'GMIC_2020-Annu_SCDPT4'!$U$25</definedName>
    <definedName name="SCDPT4_24ENDIN_2" localSheetId="3">'GMIC_2020-Annu_SCDPT4'!$D$25</definedName>
    <definedName name="SCDPT4_24ENDIN_20" localSheetId="3">'GMIC_2020-Annu_SCDPT4'!$V$25</definedName>
    <definedName name="SCDPT4_24ENDIN_21" localSheetId="3">'GMIC_2020-Annu_SCDPT4'!$W$25</definedName>
    <definedName name="SCDPT4_24ENDIN_22" localSheetId="3">'GMIC_2020-Annu_SCDPT4'!$X$25</definedName>
    <definedName name="SCDPT4_24ENDIN_23" localSheetId="3">'GMIC_2020-Annu_SCDPT4'!$Y$25</definedName>
    <definedName name="SCDPT4_24ENDIN_24" localSheetId="3">'GMIC_2020-Annu_SCDPT4'!$Z$25</definedName>
    <definedName name="SCDPT4_24ENDIN_25" localSheetId="3">'GMIC_2020-Annu_SCDPT4'!$AA$25</definedName>
    <definedName name="SCDPT4_24ENDIN_26" localSheetId="3">'GMIC_2020-Annu_SCDPT4'!$AB$25</definedName>
    <definedName name="SCDPT4_24ENDIN_3" localSheetId="3">'GMIC_2020-Annu_SCDPT4'!$E$25</definedName>
    <definedName name="SCDPT4_24ENDIN_4" localSheetId="3">'GMIC_2020-Annu_SCDPT4'!$F$25</definedName>
    <definedName name="SCDPT4_24ENDIN_5" localSheetId="3">'GMIC_2020-Annu_SCDPT4'!$G$25</definedName>
    <definedName name="SCDPT4_24ENDIN_6" localSheetId="3">'GMIC_2020-Annu_SCDPT4'!$H$25</definedName>
    <definedName name="SCDPT4_24ENDIN_7" localSheetId="3">'GMIC_2020-Annu_SCDPT4'!$I$25</definedName>
    <definedName name="SCDPT4_24ENDIN_8" localSheetId="3">'GMIC_2020-Annu_SCDPT4'!$J$25</definedName>
    <definedName name="SCDPT4_24ENDIN_9" localSheetId="3">'GMIC_2020-Annu_SCDPT4'!$K$25</definedName>
    <definedName name="SCDPT4_3100000_Range" localSheetId="3">'GMIC_2020-Annu_SCDPT4'!$B$27:$AB$37</definedName>
    <definedName name="SCDPT4_3100001_1" localSheetId="3">'GMIC_2020-Annu_SCDPT4'!$C$28</definedName>
    <definedName name="SCDPT4_3100001_10" localSheetId="3">'GMIC_2020-Annu_SCDPT4'!$L$28</definedName>
    <definedName name="SCDPT4_3100001_11" localSheetId="3">'GMIC_2020-Annu_SCDPT4'!$M$28</definedName>
    <definedName name="SCDPT4_3100001_12" localSheetId="3">'GMIC_2020-Annu_SCDPT4'!$N$28</definedName>
    <definedName name="SCDPT4_3100001_13" localSheetId="3">'GMIC_2020-Annu_SCDPT4'!$O$28</definedName>
    <definedName name="SCDPT4_3100001_14" localSheetId="3">'GMIC_2020-Annu_SCDPT4'!$P$28</definedName>
    <definedName name="SCDPT4_3100001_15" localSheetId="3">'GMIC_2020-Annu_SCDPT4'!$Q$28</definedName>
    <definedName name="SCDPT4_3100001_16" localSheetId="3">'GMIC_2020-Annu_SCDPT4'!$R$28</definedName>
    <definedName name="SCDPT4_3100001_17" localSheetId="3">'GMIC_2020-Annu_SCDPT4'!$S$28</definedName>
    <definedName name="SCDPT4_3100001_18" localSheetId="3">'GMIC_2020-Annu_SCDPT4'!$T$28</definedName>
    <definedName name="SCDPT4_3100001_19" localSheetId="3">'GMIC_2020-Annu_SCDPT4'!$U$28</definedName>
    <definedName name="SCDPT4_3100001_2" localSheetId="3">'GMIC_2020-Annu_SCDPT4'!$D$28</definedName>
    <definedName name="SCDPT4_3100001_20" localSheetId="3">'GMIC_2020-Annu_SCDPT4'!$V$28</definedName>
    <definedName name="SCDPT4_3100001_21" localSheetId="3">'GMIC_2020-Annu_SCDPT4'!$W$28</definedName>
    <definedName name="SCDPT4_3100001_22" localSheetId="3">'GMIC_2020-Annu_SCDPT4'!$X$28</definedName>
    <definedName name="SCDPT4_3100001_23" localSheetId="3">'GMIC_2020-Annu_SCDPT4'!$Y$28</definedName>
    <definedName name="SCDPT4_3100001_24" localSheetId="3">'GMIC_2020-Annu_SCDPT4'!$Z$28</definedName>
    <definedName name="SCDPT4_3100001_25" localSheetId="3">'GMIC_2020-Annu_SCDPT4'!$AA$28</definedName>
    <definedName name="SCDPT4_3100001_26" localSheetId="3">'GMIC_2020-Annu_SCDPT4'!$AB$28</definedName>
    <definedName name="SCDPT4_3100001_3" localSheetId="3">'GMIC_2020-Annu_SCDPT4'!$E$28</definedName>
    <definedName name="SCDPT4_3100001_4" localSheetId="3">'GMIC_2020-Annu_SCDPT4'!$F$28</definedName>
    <definedName name="SCDPT4_3100001_5" localSheetId="3">'GMIC_2020-Annu_SCDPT4'!$G$28</definedName>
    <definedName name="SCDPT4_3100001_7" localSheetId="3">'GMIC_2020-Annu_SCDPT4'!$I$28</definedName>
    <definedName name="SCDPT4_3100001_8" localSheetId="3">'GMIC_2020-Annu_SCDPT4'!$J$28</definedName>
    <definedName name="SCDPT4_3100001_9" localSheetId="3">'GMIC_2020-Annu_SCDPT4'!$K$28</definedName>
    <definedName name="SCDPT4_3199999_10" localSheetId="3">'GMIC_2020-Annu_SCDPT4'!$L$38</definedName>
    <definedName name="SCDPT4_3199999_11" localSheetId="3">'GMIC_2020-Annu_SCDPT4'!$M$38</definedName>
    <definedName name="SCDPT4_3199999_12" localSheetId="3">'GMIC_2020-Annu_SCDPT4'!$N$38</definedName>
    <definedName name="SCDPT4_3199999_13" localSheetId="3">'GMIC_2020-Annu_SCDPT4'!$O$38</definedName>
    <definedName name="SCDPT4_3199999_14" localSheetId="3">'GMIC_2020-Annu_SCDPT4'!$P$38</definedName>
    <definedName name="SCDPT4_3199999_15" localSheetId="3">'GMIC_2020-Annu_SCDPT4'!$Q$38</definedName>
    <definedName name="SCDPT4_3199999_16" localSheetId="3">'GMIC_2020-Annu_SCDPT4'!$R$38</definedName>
    <definedName name="SCDPT4_3199999_17" localSheetId="3">'GMIC_2020-Annu_SCDPT4'!$S$38</definedName>
    <definedName name="SCDPT4_3199999_18" localSheetId="3">'GMIC_2020-Annu_SCDPT4'!$T$38</definedName>
    <definedName name="SCDPT4_3199999_19" localSheetId="3">'GMIC_2020-Annu_SCDPT4'!$U$38</definedName>
    <definedName name="SCDPT4_3199999_20" localSheetId="3">'GMIC_2020-Annu_SCDPT4'!$V$38</definedName>
    <definedName name="SCDPT4_3199999_7" localSheetId="3">'GMIC_2020-Annu_SCDPT4'!$I$38</definedName>
    <definedName name="SCDPT4_3199999_8" localSheetId="3">'GMIC_2020-Annu_SCDPT4'!$J$38</definedName>
    <definedName name="SCDPT4_3199999_9" localSheetId="3">'GMIC_2020-Annu_SCDPT4'!$K$38</definedName>
    <definedName name="SCDPT4_31BEGIN_1" localSheetId="3">'GMIC_2020-Annu_SCDPT4'!$C$27</definedName>
    <definedName name="SCDPT4_31BEGIN_10" localSheetId="3">'GMIC_2020-Annu_SCDPT4'!$L$27</definedName>
    <definedName name="SCDPT4_31BEGIN_11" localSheetId="3">'GMIC_2020-Annu_SCDPT4'!$M$27</definedName>
    <definedName name="SCDPT4_31BEGIN_12" localSheetId="3">'GMIC_2020-Annu_SCDPT4'!$N$27</definedName>
    <definedName name="SCDPT4_31BEGIN_13" localSheetId="3">'GMIC_2020-Annu_SCDPT4'!$O$27</definedName>
    <definedName name="SCDPT4_31BEGIN_14" localSheetId="3">'GMIC_2020-Annu_SCDPT4'!$P$27</definedName>
    <definedName name="SCDPT4_31BEGIN_15" localSheetId="3">'GMIC_2020-Annu_SCDPT4'!$Q$27</definedName>
    <definedName name="SCDPT4_31BEGIN_16" localSheetId="3">'GMIC_2020-Annu_SCDPT4'!$R$27</definedName>
    <definedName name="SCDPT4_31BEGIN_17" localSheetId="3">'GMIC_2020-Annu_SCDPT4'!$S$27</definedName>
    <definedName name="SCDPT4_31BEGIN_18" localSheetId="3">'GMIC_2020-Annu_SCDPT4'!$T$27</definedName>
    <definedName name="SCDPT4_31BEGIN_19" localSheetId="3">'GMIC_2020-Annu_SCDPT4'!$U$27</definedName>
    <definedName name="SCDPT4_31BEGIN_2" localSheetId="3">'GMIC_2020-Annu_SCDPT4'!$D$27</definedName>
    <definedName name="SCDPT4_31BEGIN_20" localSheetId="3">'GMIC_2020-Annu_SCDPT4'!$V$27</definedName>
    <definedName name="SCDPT4_31BEGIN_21" localSheetId="3">'GMIC_2020-Annu_SCDPT4'!$W$27</definedName>
    <definedName name="SCDPT4_31BEGIN_22" localSheetId="3">'GMIC_2020-Annu_SCDPT4'!$X$27</definedName>
    <definedName name="SCDPT4_31BEGIN_23" localSheetId="3">'GMIC_2020-Annu_SCDPT4'!$Y$27</definedName>
    <definedName name="SCDPT4_31BEGIN_24" localSheetId="3">'GMIC_2020-Annu_SCDPT4'!$Z$27</definedName>
    <definedName name="SCDPT4_31BEGIN_25" localSheetId="3">'GMIC_2020-Annu_SCDPT4'!$AA$27</definedName>
    <definedName name="SCDPT4_31BEGIN_26" localSheetId="3">'GMIC_2020-Annu_SCDPT4'!$AB$27</definedName>
    <definedName name="SCDPT4_31BEGIN_3" localSheetId="3">'GMIC_2020-Annu_SCDPT4'!$E$27</definedName>
    <definedName name="SCDPT4_31BEGIN_4" localSheetId="3">'GMIC_2020-Annu_SCDPT4'!$F$27</definedName>
    <definedName name="SCDPT4_31BEGIN_5" localSheetId="3">'GMIC_2020-Annu_SCDPT4'!$G$27</definedName>
    <definedName name="SCDPT4_31BEGIN_6" localSheetId="3">'GMIC_2020-Annu_SCDPT4'!$H$27</definedName>
    <definedName name="SCDPT4_31BEGIN_7" localSheetId="3">'GMIC_2020-Annu_SCDPT4'!$I$27</definedName>
    <definedName name="SCDPT4_31BEGIN_8" localSheetId="3">'GMIC_2020-Annu_SCDPT4'!$J$27</definedName>
    <definedName name="SCDPT4_31BEGIN_9" localSheetId="3">'GMIC_2020-Annu_SCDPT4'!$K$27</definedName>
    <definedName name="SCDPT4_31ENDIN_10" localSheetId="3">'GMIC_2020-Annu_SCDPT4'!$L$37</definedName>
    <definedName name="SCDPT4_31ENDIN_11" localSheetId="3">'GMIC_2020-Annu_SCDPT4'!$M$37</definedName>
    <definedName name="SCDPT4_31ENDIN_12" localSheetId="3">'GMIC_2020-Annu_SCDPT4'!$N$37</definedName>
    <definedName name="SCDPT4_31ENDIN_13" localSheetId="3">'GMIC_2020-Annu_SCDPT4'!$O$37</definedName>
    <definedName name="SCDPT4_31ENDIN_14" localSheetId="3">'GMIC_2020-Annu_SCDPT4'!$P$37</definedName>
    <definedName name="SCDPT4_31ENDIN_15" localSheetId="3">'GMIC_2020-Annu_SCDPT4'!$Q$37</definedName>
    <definedName name="SCDPT4_31ENDIN_16" localSheetId="3">'GMIC_2020-Annu_SCDPT4'!$R$37</definedName>
    <definedName name="SCDPT4_31ENDIN_17" localSheetId="3">'GMIC_2020-Annu_SCDPT4'!$S$37</definedName>
    <definedName name="SCDPT4_31ENDIN_18" localSheetId="3">'GMIC_2020-Annu_SCDPT4'!$T$37</definedName>
    <definedName name="SCDPT4_31ENDIN_19" localSheetId="3">'GMIC_2020-Annu_SCDPT4'!$U$37</definedName>
    <definedName name="SCDPT4_31ENDIN_2" localSheetId="3">'GMIC_2020-Annu_SCDPT4'!$D$37</definedName>
    <definedName name="SCDPT4_31ENDIN_20" localSheetId="3">'GMIC_2020-Annu_SCDPT4'!$V$37</definedName>
    <definedName name="SCDPT4_31ENDIN_21" localSheetId="3">'GMIC_2020-Annu_SCDPT4'!$W$37</definedName>
    <definedName name="SCDPT4_31ENDIN_22" localSheetId="3">'GMIC_2020-Annu_SCDPT4'!$X$37</definedName>
    <definedName name="SCDPT4_31ENDIN_23" localSheetId="3">'GMIC_2020-Annu_SCDPT4'!$Y$37</definedName>
    <definedName name="SCDPT4_31ENDIN_24" localSheetId="3">'GMIC_2020-Annu_SCDPT4'!$Z$37</definedName>
    <definedName name="SCDPT4_31ENDIN_25" localSheetId="3">'GMIC_2020-Annu_SCDPT4'!$AA$37</definedName>
    <definedName name="SCDPT4_31ENDIN_26" localSheetId="3">'GMIC_2020-Annu_SCDPT4'!$AB$37</definedName>
    <definedName name="SCDPT4_31ENDIN_3" localSheetId="3">'GMIC_2020-Annu_SCDPT4'!$E$37</definedName>
    <definedName name="SCDPT4_31ENDIN_4" localSheetId="3">'GMIC_2020-Annu_SCDPT4'!$F$37</definedName>
    <definedName name="SCDPT4_31ENDIN_5" localSheetId="3">'GMIC_2020-Annu_SCDPT4'!$G$37</definedName>
    <definedName name="SCDPT4_31ENDIN_6" localSheetId="3">'GMIC_2020-Annu_SCDPT4'!$H$37</definedName>
    <definedName name="SCDPT4_31ENDIN_7" localSheetId="3">'GMIC_2020-Annu_SCDPT4'!$I$37</definedName>
    <definedName name="SCDPT4_31ENDIN_8" localSheetId="3">'GMIC_2020-Annu_SCDPT4'!$J$37</definedName>
    <definedName name="SCDPT4_31ENDIN_9" localSheetId="3">'GMIC_2020-Annu_SCDPT4'!$K$37</definedName>
    <definedName name="SCDPT4_3800000_Range" localSheetId="3">'GMIC_2020-Annu_SCDPT4'!$B$39:$AB$257</definedName>
    <definedName name="SCDPT4_3800001_1" localSheetId="3">'GMIC_2020-Annu_SCDPT4'!$C$40</definedName>
    <definedName name="SCDPT4_3800001_10" localSheetId="3">'GMIC_2020-Annu_SCDPT4'!$L$40</definedName>
    <definedName name="SCDPT4_3800001_11" localSheetId="3">'GMIC_2020-Annu_SCDPT4'!$M$40</definedName>
    <definedName name="SCDPT4_3800001_12" localSheetId="3">'GMIC_2020-Annu_SCDPT4'!$N$40</definedName>
    <definedName name="SCDPT4_3800001_13" localSheetId="3">'GMIC_2020-Annu_SCDPT4'!$O$40</definedName>
    <definedName name="SCDPT4_3800001_14" localSheetId="3">'GMIC_2020-Annu_SCDPT4'!$P$40</definedName>
    <definedName name="SCDPT4_3800001_15" localSheetId="3">'GMIC_2020-Annu_SCDPT4'!$Q$40</definedName>
    <definedName name="SCDPT4_3800001_16" localSheetId="3">'GMIC_2020-Annu_SCDPT4'!$R$40</definedName>
    <definedName name="SCDPT4_3800001_17" localSheetId="3">'GMIC_2020-Annu_SCDPT4'!$S$40</definedName>
    <definedName name="SCDPT4_3800001_18" localSheetId="3">'GMIC_2020-Annu_SCDPT4'!$T$40</definedName>
    <definedName name="SCDPT4_3800001_19" localSheetId="3">'GMIC_2020-Annu_SCDPT4'!$U$40</definedName>
    <definedName name="SCDPT4_3800001_2" localSheetId="3">'GMIC_2020-Annu_SCDPT4'!$D$40</definedName>
    <definedName name="SCDPT4_3800001_20" localSheetId="3">'GMIC_2020-Annu_SCDPT4'!$V$40</definedName>
    <definedName name="SCDPT4_3800001_21" localSheetId="3">'GMIC_2020-Annu_SCDPT4'!$W$40</definedName>
    <definedName name="SCDPT4_3800001_23" localSheetId="3">'GMIC_2020-Annu_SCDPT4'!$Y$40</definedName>
    <definedName name="SCDPT4_3800001_24" localSheetId="3">'GMIC_2020-Annu_SCDPT4'!$Z$40</definedName>
    <definedName name="SCDPT4_3800001_25" localSheetId="3">'GMIC_2020-Annu_SCDPT4'!$AA$40</definedName>
    <definedName name="SCDPT4_3800001_26" localSheetId="3">'GMIC_2020-Annu_SCDPT4'!$AB$40</definedName>
    <definedName name="SCDPT4_3800001_3" localSheetId="3">'GMIC_2020-Annu_SCDPT4'!$E$40</definedName>
    <definedName name="SCDPT4_3800001_4" localSheetId="3">'GMIC_2020-Annu_SCDPT4'!$F$40</definedName>
    <definedName name="SCDPT4_3800001_5" localSheetId="3">'GMIC_2020-Annu_SCDPT4'!$G$40</definedName>
    <definedName name="SCDPT4_3800001_7" localSheetId="3">'GMIC_2020-Annu_SCDPT4'!$I$40</definedName>
    <definedName name="SCDPT4_3800001_8" localSheetId="3">'GMIC_2020-Annu_SCDPT4'!$J$40</definedName>
    <definedName name="SCDPT4_3800001_9" localSheetId="3">'GMIC_2020-Annu_SCDPT4'!$K$40</definedName>
    <definedName name="SCDPT4_3899999_10" localSheetId="3">'GMIC_2020-Annu_SCDPT4'!$L$258</definedName>
    <definedName name="SCDPT4_3899999_11" localSheetId="3">'GMIC_2020-Annu_SCDPT4'!$M$258</definedName>
    <definedName name="SCDPT4_3899999_12" localSheetId="3">'GMIC_2020-Annu_SCDPT4'!$N$258</definedName>
    <definedName name="SCDPT4_3899999_13" localSheetId="3">'GMIC_2020-Annu_SCDPT4'!$O$258</definedName>
    <definedName name="SCDPT4_3899999_14" localSheetId="3">'GMIC_2020-Annu_SCDPT4'!$P$258</definedName>
    <definedName name="SCDPT4_3899999_15" localSheetId="3">'GMIC_2020-Annu_SCDPT4'!$Q$258</definedName>
    <definedName name="SCDPT4_3899999_16" localSheetId="3">'GMIC_2020-Annu_SCDPT4'!$R$258</definedName>
    <definedName name="SCDPT4_3899999_17" localSheetId="3">'GMIC_2020-Annu_SCDPT4'!$S$258</definedName>
    <definedName name="SCDPT4_3899999_18" localSheetId="3">'GMIC_2020-Annu_SCDPT4'!$T$258</definedName>
    <definedName name="SCDPT4_3899999_19" localSheetId="3">'GMIC_2020-Annu_SCDPT4'!$U$258</definedName>
    <definedName name="SCDPT4_3899999_20" localSheetId="3">'GMIC_2020-Annu_SCDPT4'!$V$258</definedName>
    <definedName name="SCDPT4_3899999_7" localSheetId="3">'GMIC_2020-Annu_SCDPT4'!$I$258</definedName>
    <definedName name="SCDPT4_3899999_8" localSheetId="3">'GMIC_2020-Annu_SCDPT4'!$J$258</definedName>
    <definedName name="SCDPT4_3899999_9" localSheetId="3">'GMIC_2020-Annu_SCDPT4'!$K$258</definedName>
    <definedName name="SCDPT4_38BEGIN_1" localSheetId="3">'GMIC_2020-Annu_SCDPT4'!$C$39</definedName>
    <definedName name="SCDPT4_38BEGIN_10" localSheetId="3">'GMIC_2020-Annu_SCDPT4'!$L$39</definedName>
    <definedName name="SCDPT4_38BEGIN_11" localSheetId="3">'GMIC_2020-Annu_SCDPT4'!$M$39</definedName>
    <definedName name="SCDPT4_38BEGIN_12" localSheetId="3">'GMIC_2020-Annu_SCDPT4'!$N$39</definedName>
    <definedName name="SCDPT4_38BEGIN_13" localSheetId="3">'GMIC_2020-Annu_SCDPT4'!$O$39</definedName>
    <definedName name="SCDPT4_38BEGIN_14" localSheetId="3">'GMIC_2020-Annu_SCDPT4'!$P$39</definedName>
    <definedName name="SCDPT4_38BEGIN_15" localSheetId="3">'GMIC_2020-Annu_SCDPT4'!$Q$39</definedName>
    <definedName name="SCDPT4_38BEGIN_16" localSheetId="3">'GMIC_2020-Annu_SCDPT4'!$R$39</definedName>
    <definedName name="SCDPT4_38BEGIN_17" localSheetId="3">'GMIC_2020-Annu_SCDPT4'!$S$39</definedName>
    <definedName name="SCDPT4_38BEGIN_18" localSheetId="3">'GMIC_2020-Annu_SCDPT4'!$T$39</definedName>
    <definedName name="SCDPT4_38BEGIN_19" localSheetId="3">'GMIC_2020-Annu_SCDPT4'!$U$39</definedName>
    <definedName name="SCDPT4_38BEGIN_2" localSheetId="3">'GMIC_2020-Annu_SCDPT4'!$D$39</definedName>
    <definedName name="SCDPT4_38BEGIN_20" localSheetId="3">'GMIC_2020-Annu_SCDPT4'!$V$39</definedName>
    <definedName name="SCDPT4_38BEGIN_21" localSheetId="3">'GMIC_2020-Annu_SCDPT4'!$W$39</definedName>
    <definedName name="SCDPT4_38BEGIN_22" localSheetId="3">'GMIC_2020-Annu_SCDPT4'!$X$39</definedName>
    <definedName name="SCDPT4_38BEGIN_23" localSheetId="3">'GMIC_2020-Annu_SCDPT4'!$Y$39</definedName>
    <definedName name="SCDPT4_38BEGIN_24" localSheetId="3">'GMIC_2020-Annu_SCDPT4'!$Z$39</definedName>
    <definedName name="SCDPT4_38BEGIN_25" localSheetId="3">'GMIC_2020-Annu_SCDPT4'!$AA$39</definedName>
    <definedName name="SCDPT4_38BEGIN_26" localSheetId="3">'GMIC_2020-Annu_SCDPT4'!$AB$39</definedName>
    <definedName name="SCDPT4_38BEGIN_3" localSheetId="3">'GMIC_2020-Annu_SCDPT4'!$E$39</definedName>
    <definedName name="SCDPT4_38BEGIN_4" localSheetId="3">'GMIC_2020-Annu_SCDPT4'!$F$39</definedName>
    <definedName name="SCDPT4_38BEGIN_5" localSheetId="3">'GMIC_2020-Annu_SCDPT4'!$G$39</definedName>
    <definedName name="SCDPT4_38BEGIN_6" localSheetId="3">'GMIC_2020-Annu_SCDPT4'!$H$39</definedName>
    <definedName name="SCDPT4_38BEGIN_7" localSheetId="3">'GMIC_2020-Annu_SCDPT4'!$I$39</definedName>
    <definedName name="SCDPT4_38BEGIN_8" localSheetId="3">'GMIC_2020-Annu_SCDPT4'!$J$39</definedName>
    <definedName name="SCDPT4_38BEGIN_9" localSheetId="3">'GMIC_2020-Annu_SCDPT4'!$K$39</definedName>
    <definedName name="SCDPT4_38ENDIN_10" localSheetId="3">'GMIC_2020-Annu_SCDPT4'!$L$257</definedName>
    <definedName name="SCDPT4_38ENDIN_11" localSheetId="3">'GMIC_2020-Annu_SCDPT4'!$M$257</definedName>
    <definedName name="SCDPT4_38ENDIN_12" localSheetId="3">'GMIC_2020-Annu_SCDPT4'!$N$257</definedName>
    <definedName name="SCDPT4_38ENDIN_13" localSheetId="3">'GMIC_2020-Annu_SCDPT4'!$O$257</definedName>
    <definedName name="SCDPT4_38ENDIN_14" localSheetId="3">'GMIC_2020-Annu_SCDPT4'!$P$257</definedName>
    <definedName name="SCDPT4_38ENDIN_15" localSheetId="3">'GMIC_2020-Annu_SCDPT4'!$Q$257</definedName>
    <definedName name="SCDPT4_38ENDIN_16" localSheetId="3">'GMIC_2020-Annu_SCDPT4'!$R$257</definedName>
    <definedName name="SCDPT4_38ENDIN_17" localSheetId="3">'GMIC_2020-Annu_SCDPT4'!$S$257</definedName>
    <definedName name="SCDPT4_38ENDIN_18" localSheetId="3">'GMIC_2020-Annu_SCDPT4'!$T$257</definedName>
    <definedName name="SCDPT4_38ENDIN_19" localSheetId="3">'GMIC_2020-Annu_SCDPT4'!$U$257</definedName>
    <definedName name="SCDPT4_38ENDIN_2" localSheetId="3">'GMIC_2020-Annu_SCDPT4'!$D$257</definedName>
    <definedName name="SCDPT4_38ENDIN_20" localSheetId="3">'GMIC_2020-Annu_SCDPT4'!$V$257</definedName>
    <definedName name="SCDPT4_38ENDIN_21" localSheetId="3">'GMIC_2020-Annu_SCDPT4'!$W$257</definedName>
    <definedName name="SCDPT4_38ENDIN_22" localSheetId="3">'GMIC_2020-Annu_SCDPT4'!$X$257</definedName>
    <definedName name="SCDPT4_38ENDIN_23" localSheetId="3">'GMIC_2020-Annu_SCDPT4'!$Y$257</definedName>
    <definedName name="SCDPT4_38ENDIN_24" localSheetId="3">'GMIC_2020-Annu_SCDPT4'!$Z$257</definedName>
    <definedName name="SCDPT4_38ENDIN_25" localSheetId="3">'GMIC_2020-Annu_SCDPT4'!$AA$257</definedName>
    <definedName name="SCDPT4_38ENDIN_26" localSheetId="3">'GMIC_2020-Annu_SCDPT4'!$AB$257</definedName>
    <definedName name="SCDPT4_38ENDIN_3" localSheetId="3">'GMIC_2020-Annu_SCDPT4'!$E$257</definedName>
    <definedName name="SCDPT4_38ENDIN_4" localSheetId="3">'GMIC_2020-Annu_SCDPT4'!$F$257</definedName>
    <definedName name="SCDPT4_38ENDIN_5" localSheetId="3">'GMIC_2020-Annu_SCDPT4'!$G$257</definedName>
    <definedName name="SCDPT4_38ENDIN_6" localSheetId="3">'GMIC_2020-Annu_SCDPT4'!$H$257</definedName>
    <definedName name="SCDPT4_38ENDIN_7" localSheetId="3">'GMIC_2020-Annu_SCDPT4'!$I$257</definedName>
    <definedName name="SCDPT4_38ENDIN_8" localSheetId="3">'GMIC_2020-Annu_SCDPT4'!$J$257</definedName>
    <definedName name="SCDPT4_38ENDIN_9" localSheetId="3">'GMIC_2020-Annu_SCDPT4'!$K$257</definedName>
    <definedName name="SCDPT4_4800000_Range" localSheetId="3">'GMIC_2020-Annu_SCDPT4'!$B$259:$AB$261</definedName>
    <definedName name="SCDPT4_4899999_10" localSheetId="3">'GMIC_2020-Annu_SCDPT4'!$L$262</definedName>
    <definedName name="SCDPT4_4899999_11" localSheetId="3">'GMIC_2020-Annu_SCDPT4'!$M$262</definedName>
    <definedName name="SCDPT4_4899999_12" localSheetId="3">'GMIC_2020-Annu_SCDPT4'!$N$262</definedName>
    <definedName name="SCDPT4_4899999_13" localSheetId="3">'GMIC_2020-Annu_SCDPT4'!$O$262</definedName>
    <definedName name="SCDPT4_4899999_14" localSheetId="3">'GMIC_2020-Annu_SCDPT4'!$P$262</definedName>
    <definedName name="SCDPT4_4899999_15" localSheetId="3">'GMIC_2020-Annu_SCDPT4'!$Q$262</definedName>
    <definedName name="SCDPT4_4899999_16" localSheetId="3">'GMIC_2020-Annu_SCDPT4'!$R$262</definedName>
    <definedName name="SCDPT4_4899999_17" localSheetId="3">'GMIC_2020-Annu_SCDPT4'!$S$262</definedName>
    <definedName name="SCDPT4_4899999_18" localSheetId="3">'GMIC_2020-Annu_SCDPT4'!$T$262</definedName>
    <definedName name="SCDPT4_4899999_19" localSheetId="3">'GMIC_2020-Annu_SCDPT4'!$U$262</definedName>
    <definedName name="SCDPT4_4899999_20" localSheetId="3">'GMIC_2020-Annu_SCDPT4'!$V$262</definedName>
    <definedName name="SCDPT4_4899999_7" localSheetId="3">'GMIC_2020-Annu_SCDPT4'!$I$262</definedName>
    <definedName name="SCDPT4_4899999_8" localSheetId="3">'GMIC_2020-Annu_SCDPT4'!$J$262</definedName>
    <definedName name="SCDPT4_4899999_9" localSheetId="3">'GMIC_2020-Annu_SCDPT4'!$K$262</definedName>
    <definedName name="SCDPT4_48BEGIN_1" localSheetId="3">'GMIC_2020-Annu_SCDPT4'!$C$259</definedName>
    <definedName name="SCDPT4_48BEGIN_10" localSheetId="3">'GMIC_2020-Annu_SCDPT4'!$L$259</definedName>
    <definedName name="SCDPT4_48BEGIN_11" localSheetId="3">'GMIC_2020-Annu_SCDPT4'!$M$259</definedName>
    <definedName name="SCDPT4_48BEGIN_12" localSheetId="3">'GMIC_2020-Annu_SCDPT4'!$N$259</definedName>
    <definedName name="SCDPT4_48BEGIN_13" localSheetId="3">'GMIC_2020-Annu_SCDPT4'!$O$259</definedName>
    <definedName name="SCDPT4_48BEGIN_14" localSheetId="3">'GMIC_2020-Annu_SCDPT4'!$P$259</definedName>
    <definedName name="SCDPT4_48BEGIN_15" localSheetId="3">'GMIC_2020-Annu_SCDPT4'!$Q$259</definedName>
    <definedName name="SCDPT4_48BEGIN_16" localSheetId="3">'GMIC_2020-Annu_SCDPT4'!$R$259</definedName>
    <definedName name="SCDPT4_48BEGIN_17" localSheetId="3">'GMIC_2020-Annu_SCDPT4'!$S$259</definedName>
    <definedName name="SCDPT4_48BEGIN_18" localSheetId="3">'GMIC_2020-Annu_SCDPT4'!$T$259</definedName>
    <definedName name="SCDPT4_48BEGIN_19" localSheetId="3">'GMIC_2020-Annu_SCDPT4'!$U$259</definedName>
    <definedName name="SCDPT4_48BEGIN_2" localSheetId="3">'GMIC_2020-Annu_SCDPT4'!$D$259</definedName>
    <definedName name="SCDPT4_48BEGIN_20" localSheetId="3">'GMIC_2020-Annu_SCDPT4'!$V$259</definedName>
    <definedName name="SCDPT4_48BEGIN_21" localSheetId="3">'GMIC_2020-Annu_SCDPT4'!$W$259</definedName>
    <definedName name="SCDPT4_48BEGIN_22" localSheetId="3">'GMIC_2020-Annu_SCDPT4'!$X$259</definedName>
    <definedName name="SCDPT4_48BEGIN_23" localSheetId="3">'GMIC_2020-Annu_SCDPT4'!$Y$259</definedName>
    <definedName name="SCDPT4_48BEGIN_24" localSheetId="3">'GMIC_2020-Annu_SCDPT4'!$Z$259</definedName>
    <definedName name="SCDPT4_48BEGIN_25" localSheetId="3">'GMIC_2020-Annu_SCDPT4'!$AA$259</definedName>
    <definedName name="SCDPT4_48BEGIN_26" localSheetId="3">'GMIC_2020-Annu_SCDPT4'!$AB$259</definedName>
    <definedName name="SCDPT4_48BEGIN_3" localSheetId="3">'GMIC_2020-Annu_SCDPT4'!$E$259</definedName>
    <definedName name="SCDPT4_48BEGIN_4" localSheetId="3">'GMIC_2020-Annu_SCDPT4'!$F$259</definedName>
    <definedName name="SCDPT4_48BEGIN_5" localSheetId="3">'GMIC_2020-Annu_SCDPT4'!$G$259</definedName>
    <definedName name="SCDPT4_48BEGIN_6" localSheetId="3">'GMIC_2020-Annu_SCDPT4'!$H$259</definedName>
    <definedName name="SCDPT4_48BEGIN_7" localSheetId="3">'GMIC_2020-Annu_SCDPT4'!$I$259</definedName>
    <definedName name="SCDPT4_48BEGIN_8" localSheetId="3">'GMIC_2020-Annu_SCDPT4'!$J$259</definedName>
    <definedName name="SCDPT4_48BEGIN_9" localSheetId="3">'GMIC_2020-Annu_SCDPT4'!$K$259</definedName>
    <definedName name="SCDPT4_48ENDIN_10" localSheetId="3">'GMIC_2020-Annu_SCDPT4'!$L$261</definedName>
    <definedName name="SCDPT4_48ENDIN_11" localSheetId="3">'GMIC_2020-Annu_SCDPT4'!$M$261</definedName>
    <definedName name="SCDPT4_48ENDIN_12" localSheetId="3">'GMIC_2020-Annu_SCDPT4'!$N$261</definedName>
    <definedName name="SCDPT4_48ENDIN_13" localSheetId="3">'GMIC_2020-Annu_SCDPT4'!$O$261</definedName>
    <definedName name="SCDPT4_48ENDIN_14" localSheetId="3">'GMIC_2020-Annu_SCDPT4'!$P$261</definedName>
    <definedName name="SCDPT4_48ENDIN_15" localSheetId="3">'GMIC_2020-Annu_SCDPT4'!$Q$261</definedName>
    <definedName name="SCDPT4_48ENDIN_16" localSheetId="3">'GMIC_2020-Annu_SCDPT4'!$R$261</definedName>
    <definedName name="SCDPT4_48ENDIN_17" localSheetId="3">'GMIC_2020-Annu_SCDPT4'!$S$261</definedName>
    <definedName name="SCDPT4_48ENDIN_18" localSheetId="3">'GMIC_2020-Annu_SCDPT4'!$T$261</definedName>
    <definedName name="SCDPT4_48ENDIN_19" localSheetId="3">'GMIC_2020-Annu_SCDPT4'!$U$261</definedName>
    <definedName name="SCDPT4_48ENDIN_2" localSheetId="3">'GMIC_2020-Annu_SCDPT4'!$D$261</definedName>
    <definedName name="SCDPT4_48ENDIN_20" localSheetId="3">'GMIC_2020-Annu_SCDPT4'!$V$261</definedName>
    <definedName name="SCDPT4_48ENDIN_21" localSheetId="3">'GMIC_2020-Annu_SCDPT4'!$W$261</definedName>
    <definedName name="SCDPT4_48ENDIN_22" localSheetId="3">'GMIC_2020-Annu_SCDPT4'!$X$261</definedName>
    <definedName name="SCDPT4_48ENDIN_23" localSheetId="3">'GMIC_2020-Annu_SCDPT4'!$Y$261</definedName>
    <definedName name="SCDPT4_48ENDIN_24" localSheetId="3">'GMIC_2020-Annu_SCDPT4'!$Z$261</definedName>
    <definedName name="SCDPT4_48ENDIN_25" localSheetId="3">'GMIC_2020-Annu_SCDPT4'!$AA$261</definedName>
    <definedName name="SCDPT4_48ENDIN_26" localSheetId="3">'GMIC_2020-Annu_SCDPT4'!$AB$261</definedName>
    <definedName name="SCDPT4_48ENDIN_3" localSheetId="3">'GMIC_2020-Annu_SCDPT4'!$E$261</definedName>
    <definedName name="SCDPT4_48ENDIN_4" localSheetId="3">'GMIC_2020-Annu_SCDPT4'!$F$261</definedName>
    <definedName name="SCDPT4_48ENDIN_5" localSheetId="3">'GMIC_2020-Annu_SCDPT4'!$G$261</definedName>
    <definedName name="SCDPT4_48ENDIN_6" localSheetId="3">'GMIC_2020-Annu_SCDPT4'!$H$261</definedName>
    <definedName name="SCDPT4_48ENDIN_7" localSheetId="3">'GMIC_2020-Annu_SCDPT4'!$I$261</definedName>
    <definedName name="SCDPT4_48ENDIN_8" localSheetId="3">'GMIC_2020-Annu_SCDPT4'!$J$261</definedName>
    <definedName name="SCDPT4_48ENDIN_9" localSheetId="3">'GMIC_2020-Annu_SCDPT4'!$K$261</definedName>
    <definedName name="SCDPT4_5500000_Range" localSheetId="3">'GMIC_2020-Annu_SCDPT4'!$B$263:$AB$265</definedName>
    <definedName name="SCDPT4_5599999_10" localSheetId="3">'GMIC_2020-Annu_SCDPT4'!$L$266</definedName>
    <definedName name="SCDPT4_5599999_11" localSheetId="3">'GMIC_2020-Annu_SCDPT4'!$M$266</definedName>
    <definedName name="SCDPT4_5599999_12" localSheetId="3">'GMIC_2020-Annu_SCDPT4'!$N$266</definedName>
    <definedName name="SCDPT4_5599999_13" localSheetId="3">'GMIC_2020-Annu_SCDPT4'!$O$266</definedName>
    <definedName name="SCDPT4_5599999_14" localSheetId="3">'GMIC_2020-Annu_SCDPT4'!$P$266</definedName>
    <definedName name="SCDPT4_5599999_15" localSheetId="3">'GMIC_2020-Annu_SCDPT4'!$Q$266</definedName>
    <definedName name="SCDPT4_5599999_16" localSheetId="3">'GMIC_2020-Annu_SCDPT4'!$R$266</definedName>
    <definedName name="SCDPT4_5599999_17" localSheetId="3">'GMIC_2020-Annu_SCDPT4'!$S$266</definedName>
    <definedName name="SCDPT4_5599999_18" localSheetId="3">'GMIC_2020-Annu_SCDPT4'!$T$266</definedName>
    <definedName name="SCDPT4_5599999_19" localSheetId="3">'GMIC_2020-Annu_SCDPT4'!$U$266</definedName>
    <definedName name="SCDPT4_5599999_20" localSheetId="3">'GMIC_2020-Annu_SCDPT4'!$V$266</definedName>
    <definedName name="SCDPT4_5599999_7" localSheetId="3">'GMIC_2020-Annu_SCDPT4'!$I$266</definedName>
    <definedName name="SCDPT4_5599999_8" localSheetId="3">'GMIC_2020-Annu_SCDPT4'!$J$266</definedName>
    <definedName name="SCDPT4_5599999_9" localSheetId="3">'GMIC_2020-Annu_SCDPT4'!$K$266</definedName>
    <definedName name="SCDPT4_55BEGIN_1" localSheetId="3">'GMIC_2020-Annu_SCDPT4'!$C$263</definedName>
    <definedName name="SCDPT4_55BEGIN_10" localSheetId="3">'GMIC_2020-Annu_SCDPT4'!$L$263</definedName>
    <definedName name="SCDPT4_55BEGIN_11" localSheetId="3">'GMIC_2020-Annu_SCDPT4'!$M$263</definedName>
    <definedName name="SCDPT4_55BEGIN_12" localSheetId="3">'GMIC_2020-Annu_SCDPT4'!$N$263</definedName>
    <definedName name="SCDPT4_55BEGIN_13" localSheetId="3">'GMIC_2020-Annu_SCDPT4'!$O$263</definedName>
    <definedName name="SCDPT4_55BEGIN_14" localSheetId="3">'GMIC_2020-Annu_SCDPT4'!$P$263</definedName>
    <definedName name="SCDPT4_55BEGIN_15" localSheetId="3">'GMIC_2020-Annu_SCDPT4'!$Q$263</definedName>
    <definedName name="SCDPT4_55BEGIN_16" localSheetId="3">'GMIC_2020-Annu_SCDPT4'!$R$263</definedName>
    <definedName name="SCDPT4_55BEGIN_17" localSheetId="3">'GMIC_2020-Annu_SCDPT4'!$S$263</definedName>
    <definedName name="SCDPT4_55BEGIN_18" localSheetId="3">'GMIC_2020-Annu_SCDPT4'!$T$263</definedName>
    <definedName name="SCDPT4_55BEGIN_19" localSheetId="3">'GMIC_2020-Annu_SCDPT4'!$U$263</definedName>
    <definedName name="SCDPT4_55BEGIN_2" localSheetId="3">'GMIC_2020-Annu_SCDPT4'!$D$263</definedName>
    <definedName name="SCDPT4_55BEGIN_20" localSheetId="3">'GMIC_2020-Annu_SCDPT4'!$V$263</definedName>
    <definedName name="SCDPT4_55BEGIN_21" localSheetId="3">'GMIC_2020-Annu_SCDPT4'!$W$263</definedName>
    <definedName name="SCDPT4_55BEGIN_22" localSheetId="3">'GMIC_2020-Annu_SCDPT4'!$X$263</definedName>
    <definedName name="SCDPT4_55BEGIN_23" localSheetId="3">'GMIC_2020-Annu_SCDPT4'!$Y$263</definedName>
    <definedName name="SCDPT4_55BEGIN_24" localSheetId="3">'GMIC_2020-Annu_SCDPT4'!$Z$263</definedName>
    <definedName name="SCDPT4_55BEGIN_25" localSheetId="3">'GMIC_2020-Annu_SCDPT4'!$AA$263</definedName>
    <definedName name="SCDPT4_55BEGIN_26" localSheetId="3">'GMIC_2020-Annu_SCDPT4'!$AB$263</definedName>
    <definedName name="SCDPT4_55BEGIN_3" localSheetId="3">'GMIC_2020-Annu_SCDPT4'!$E$263</definedName>
    <definedName name="SCDPT4_55BEGIN_4" localSheetId="3">'GMIC_2020-Annu_SCDPT4'!$F$263</definedName>
    <definedName name="SCDPT4_55BEGIN_5" localSheetId="3">'GMIC_2020-Annu_SCDPT4'!$G$263</definedName>
    <definedName name="SCDPT4_55BEGIN_6" localSheetId="3">'GMIC_2020-Annu_SCDPT4'!$H$263</definedName>
    <definedName name="SCDPT4_55BEGIN_7" localSheetId="3">'GMIC_2020-Annu_SCDPT4'!$I$263</definedName>
    <definedName name="SCDPT4_55BEGIN_8" localSheetId="3">'GMIC_2020-Annu_SCDPT4'!$J$263</definedName>
    <definedName name="SCDPT4_55BEGIN_9" localSheetId="3">'GMIC_2020-Annu_SCDPT4'!$K$263</definedName>
    <definedName name="SCDPT4_55ENDIN_10" localSheetId="3">'GMIC_2020-Annu_SCDPT4'!$L$265</definedName>
    <definedName name="SCDPT4_55ENDIN_11" localSheetId="3">'GMIC_2020-Annu_SCDPT4'!$M$265</definedName>
    <definedName name="SCDPT4_55ENDIN_12" localSheetId="3">'GMIC_2020-Annu_SCDPT4'!$N$265</definedName>
    <definedName name="SCDPT4_55ENDIN_13" localSheetId="3">'GMIC_2020-Annu_SCDPT4'!$O$265</definedName>
    <definedName name="SCDPT4_55ENDIN_14" localSheetId="3">'GMIC_2020-Annu_SCDPT4'!$P$265</definedName>
    <definedName name="SCDPT4_55ENDIN_15" localSheetId="3">'GMIC_2020-Annu_SCDPT4'!$Q$265</definedName>
    <definedName name="SCDPT4_55ENDIN_16" localSheetId="3">'GMIC_2020-Annu_SCDPT4'!$R$265</definedName>
    <definedName name="SCDPT4_55ENDIN_17" localSheetId="3">'GMIC_2020-Annu_SCDPT4'!$S$265</definedName>
    <definedName name="SCDPT4_55ENDIN_18" localSheetId="3">'GMIC_2020-Annu_SCDPT4'!$T$265</definedName>
    <definedName name="SCDPT4_55ENDIN_19" localSheetId="3">'GMIC_2020-Annu_SCDPT4'!$U$265</definedName>
    <definedName name="SCDPT4_55ENDIN_2" localSheetId="3">'GMIC_2020-Annu_SCDPT4'!$D$265</definedName>
    <definedName name="SCDPT4_55ENDIN_20" localSheetId="3">'GMIC_2020-Annu_SCDPT4'!$V$265</definedName>
    <definedName name="SCDPT4_55ENDIN_21" localSheetId="3">'GMIC_2020-Annu_SCDPT4'!$W$265</definedName>
    <definedName name="SCDPT4_55ENDIN_22" localSheetId="3">'GMIC_2020-Annu_SCDPT4'!$X$265</definedName>
    <definedName name="SCDPT4_55ENDIN_23" localSheetId="3">'GMIC_2020-Annu_SCDPT4'!$Y$265</definedName>
    <definedName name="SCDPT4_55ENDIN_24" localSheetId="3">'GMIC_2020-Annu_SCDPT4'!$Z$265</definedName>
    <definedName name="SCDPT4_55ENDIN_25" localSheetId="3">'GMIC_2020-Annu_SCDPT4'!$AA$265</definedName>
    <definedName name="SCDPT4_55ENDIN_26" localSheetId="3">'GMIC_2020-Annu_SCDPT4'!$AB$265</definedName>
    <definedName name="SCDPT4_55ENDIN_3" localSheetId="3">'GMIC_2020-Annu_SCDPT4'!$E$265</definedName>
    <definedName name="SCDPT4_55ENDIN_4" localSheetId="3">'GMIC_2020-Annu_SCDPT4'!$F$265</definedName>
    <definedName name="SCDPT4_55ENDIN_5" localSheetId="3">'GMIC_2020-Annu_SCDPT4'!$G$265</definedName>
    <definedName name="SCDPT4_55ENDIN_6" localSheetId="3">'GMIC_2020-Annu_SCDPT4'!$H$265</definedName>
    <definedName name="SCDPT4_55ENDIN_7" localSheetId="3">'GMIC_2020-Annu_SCDPT4'!$I$265</definedName>
    <definedName name="SCDPT4_55ENDIN_8" localSheetId="3">'GMIC_2020-Annu_SCDPT4'!$J$265</definedName>
    <definedName name="SCDPT4_55ENDIN_9" localSheetId="3">'GMIC_2020-Annu_SCDPT4'!$K$265</definedName>
    <definedName name="SCDPT4_8000000_Range" localSheetId="3">'GMIC_2020-Annu_SCDPT4'!$B$267:$AB$269</definedName>
    <definedName name="SCDPT4_8099999_10" localSheetId="3">'GMIC_2020-Annu_SCDPT4'!$L$270</definedName>
    <definedName name="SCDPT4_8099999_11" localSheetId="3">'GMIC_2020-Annu_SCDPT4'!$M$270</definedName>
    <definedName name="SCDPT4_8099999_12" localSheetId="3">'GMIC_2020-Annu_SCDPT4'!$N$270</definedName>
    <definedName name="SCDPT4_8099999_13" localSheetId="3">'GMIC_2020-Annu_SCDPT4'!$O$270</definedName>
    <definedName name="SCDPT4_8099999_14" localSheetId="3">'GMIC_2020-Annu_SCDPT4'!$P$270</definedName>
    <definedName name="SCDPT4_8099999_15" localSheetId="3">'GMIC_2020-Annu_SCDPT4'!$Q$270</definedName>
    <definedName name="SCDPT4_8099999_16" localSheetId="3">'GMIC_2020-Annu_SCDPT4'!$R$270</definedName>
    <definedName name="SCDPT4_8099999_17" localSheetId="3">'GMIC_2020-Annu_SCDPT4'!$S$270</definedName>
    <definedName name="SCDPT4_8099999_18" localSheetId="3">'GMIC_2020-Annu_SCDPT4'!$T$270</definedName>
    <definedName name="SCDPT4_8099999_19" localSheetId="3">'GMIC_2020-Annu_SCDPT4'!$U$270</definedName>
    <definedName name="SCDPT4_8099999_20" localSheetId="3">'GMIC_2020-Annu_SCDPT4'!$V$270</definedName>
    <definedName name="SCDPT4_8099999_7" localSheetId="3">'GMIC_2020-Annu_SCDPT4'!$I$270</definedName>
    <definedName name="SCDPT4_8099999_8" localSheetId="3">'GMIC_2020-Annu_SCDPT4'!$J$270</definedName>
    <definedName name="SCDPT4_8099999_9" localSheetId="3">'GMIC_2020-Annu_SCDPT4'!$K$270</definedName>
    <definedName name="SCDPT4_80BEGIN_1" localSheetId="3">'GMIC_2020-Annu_SCDPT4'!$C$267</definedName>
    <definedName name="SCDPT4_80BEGIN_10" localSheetId="3">'GMIC_2020-Annu_SCDPT4'!$L$267</definedName>
    <definedName name="SCDPT4_80BEGIN_11" localSheetId="3">'GMIC_2020-Annu_SCDPT4'!$M$267</definedName>
    <definedName name="SCDPT4_80BEGIN_12" localSheetId="3">'GMIC_2020-Annu_SCDPT4'!$N$267</definedName>
    <definedName name="SCDPT4_80BEGIN_13" localSheetId="3">'GMIC_2020-Annu_SCDPT4'!$O$267</definedName>
    <definedName name="SCDPT4_80BEGIN_14" localSheetId="3">'GMIC_2020-Annu_SCDPT4'!$P$267</definedName>
    <definedName name="SCDPT4_80BEGIN_15" localSheetId="3">'GMIC_2020-Annu_SCDPT4'!$Q$267</definedName>
    <definedName name="SCDPT4_80BEGIN_16" localSheetId="3">'GMIC_2020-Annu_SCDPT4'!$R$267</definedName>
    <definedName name="SCDPT4_80BEGIN_17" localSheetId="3">'GMIC_2020-Annu_SCDPT4'!$S$267</definedName>
    <definedName name="SCDPT4_80BEGIN_18" localSheetId="3">'GMIC_2020-Annu_SCDPT4'!$T$267</definedName>
    <definedName name="SCDPT4_80BEGIN_19" localSheetId="3">'GMIC_2020-Annu_SCDPT4'!$U$267</definedName>
    <definedName name="SCDPT4_80BEGIN_2" localSheetId="3">'GMIC_2020-Annu_SCDPT4'!$D$267</definedName>
    <definedName name="SCDPT4_80BEGIN_20" localSheetId="3">'GMIC_2020-Annu_SCDPT4'!$V$267</definedName>
    <definedName name="SCDPT4_80BEGIN_21" localSheetId="3">'GMIC_2020-Annu_SCDPT4'!$W$267</definedName>
    <definedName name="SCDPT4_80BEGIN_22" localSheetId="3">'GMIC_2020-Annu_SCDPT4'!$X$267</definedName>
    <definedName name="SCDPT4_80BEGIN_23" localSheetId="3">'GMIC_2020-Annu_SCDPT4'!$Y$267</definedName>
    <definedName name="SCDPT4_80BEGIN_24" localSheetId="3">'GMIC_2020-Annu_SCDPT4'!$Z$267</definedName>
    <definedName name="SCDPT4_80BEGIN_25" localSheetId="3">'GMIC_2020-Annu_SCDPT4'!$AA$267</definedName>
    <definedName name="SCDPT4_80BEGIN_26" localSheetId="3">'GMIC_2020-Annu_SCDPT4'!$AB$267</definedName>
    <definedName name="SCDPT4_80BEGIN_3" localSheetId="3">'GMIC_2020-Annu_SCDPT4'!$E$267</definedName>
    <definedName name="SCDPT4_80BEGIN_4" localSheetId="3">'GMIC_2020-Annu_SCDPT4'!$F$267</definedName>
    <definedName name="SCDPT4_80BEGIN_5" localSheetId="3">'GMIC_2020-Annu_SCDPT4'!$G$267</definedName>
    <definedName name="SCDPT4_80BEGIN_6" localSheetId="3">'GMIC_2020-Annu_SCDPT4'!$H$267</definedName>
    <definedName name="SCDPT4_80BEGIN_7" localSheetId="3">'GMIC_2020-Annu_SCDPT4'!$I$267</definedName>
    <definedName name="SCDPT4_80BEGIN_8" localSheetId="3">'GMIC_2020-Annu_SCDPT4'!$J$267</definedName>
    <definedName name="SCDPT4_80BEGIN_9" localSheetId="3">'GMIC_2020-Annu_SCDPT4'!$K$267</definedName>
    <definedName name="SCDPT4_80ENDIN_10" localSheetId="3">'GMIC_2020-Annu_SCDPT4'!$L$269</definedName>
    <definedName name="SCDPT4_80ENDIN_11" localSheetId="3">'GMIC_2020-Annu_SCDPT4'!$M$269</definedName>
    <definedName name="SCDPT4_80ENDIN_12" localSheetId="3">'GMIC_2020-Annu_SCDPT4'!$N$269</definedName>
    <definedName name="SCDPT4_80ENDIN_13" localSheetId="3">'GMIC_2020-Annu_SCDPT4'!$O$269</definedName>
    <definedName name="SCDPT4_80ENDIN_14" localSheetId="3">'GMIC_2020-Annu_SCDPT4'!$P$269</definedName>
    <definedName name="SCDPT4_80ENDIN_15" localSheetId="3">'GMIC_2020-Annu_SCDPT4'!$Q$269</definedName>
    <definedName name="SCDPT4_80ENDIN_16" localSheetId="3">'GMIC_2020-Annu_SCDPT4'!$R$269</definedName>
    <definedName name="SCDPT4_80ENDIN_17" localSheetId="3">'GMIC_2020-Annu_SCDPT4'!$S$269</definedName>
    <definedName name="SCDPT4_80ENDIN_18" localSheetId="3">'GMIC_2020-Annu_SCDPT4'!$T$269</definedName>
    <definedName name="SCDPT4_80ENDIN_19" localSheetId="3">'GMIC_2020-Annu_SCDPT4'!$U$269</definedName>
    <definedName name="SCDPT4_80ENDIN_2" localSheetId="3">'GMIC_2020-Annu_SCDPT4'!$D$269</definedName>
    <definedName name="SCDPT4_80ENDIN_20" localSheetId="3">'GMIC_2020-Annu_SCDPT4'!$V$269</definedName>
    <definedName name="SCDPT4_80ENDIN_21" localSheetId="3">'GMIC_2020-Annu_SCDPT4'!$W$269</definedName>
    <definedName name="SCDPT4_80ENDIN_22" localSheetId="3">'GMIC_2020-Annu_SCDPT4'!$X$269</definedName>
    <definedName name="SCDPT4_80ENDIN_23" localSheetId="3">'GMIC_2020-Annu_SCDPT4'!$Y$269</definedName>
    <definedName name="SCDPT4_80ENDIN_24" localSheetId="3">'GMIC_2020-Annu_SCDPT4'!$Z$269</definedName>
    <definedName name="SCDPT4_80ENDIN_25" localSheetId="3">'GMIC_2020-Annu_SCDPT4'!$AA$269</definedName>
    <definedName name="SCDPT4_80ENDIN_26" localSheetId="3">'GMIC_2020-Annu_SCDPT4'!$AB$269</definedName>
    <definedName name="SCDPT4_80ENDIN_3" localSheetId="3">'GMIC_2020-Annu_SCDPT4'!$E$269</definedName>
    <definedName name="SCDPT4_80ENDIN_4" localSheetId="3">'GMIC_2020-Annu_SCDPT4'!$F$269</definedName>
    <definedName name="SCDPT4_80ENDIN_5" localSheetId="3">'GMIC_2020-Annu_SCDPT4'!$G$269</definedName>
    <definedName name="SCDPT4_80ENDIN_6" localSheetId="3">'GMIC_2020-Annu_SCDPT4'!$H$269</definedName>
    <definedName name="SCDPT4_80ENDIN_7" localSheetId="3">'GMIC_2020-Annu_SCDPT4'!$I$269</definedName>
    <definedName name="SCDPT4_80ENDIN_8" localSheetId="3">'GMIC_2020-Annu_SCDPT4'!$J$269</definedName>
    <definedName name="SCDPT4_80ENDIN_9" localSheetId="3">'GMIC_2020-Annu_SCDPT4'!$K$269</definedName>
    <definedName name="SCDPT4_8200000_Range" localSheetId="3">'GMIC_2020-Annu_SCDPT4'!$B$271:$AB$273</definedName>
    <definedName name="SCDPT4_8299999_10" localSheetId="3">'GMIC_2020-Annu_SCDPT4'!$L$274</definedName>
    <definedName name="SCDPT4_8299999_11" localSheetId="3">'GMIC_2020-Annu_SCDPT4'!$M$274</definedName>
    <definedName name="SCDPT4_8299999_12" localSheetId="3">'GMIC_2020-Annu_SCDPT4'!$N$274</definedName>
    <definedName name="SCDPT4_8299999_13" localSheetId="3">'GMIC_2020-Annu_SCDPT4'!$O$274</definedName>
    <definedName name="SCDPT4_8299999_14" localSheetId="3">'GMIC_2020-Annu_SCDPT4'!$P$274</definedName>
    <definedName name="SCDPT4_8299999_15" localSheetId="3">'GMIC_2020-Annu_SCDPT4'!$Q$274</definedName>
    <definedName name="SCDPT4_8299999_16" localSheetId="3">'GMIC_2020-Annu_SCDPT4'!$R$274</definedName>
    <definedName name="SCDPT4_8299999_17" localSheetId="3">'GMIC_2020-Annu_SCDPT4'!$S$274</definedName>
    <definedName name="SCDPT4_8299999_18" localSheetId="3">'GMIC_2020-Annu_SCDPT4'!$T$274</definedName>
    <definedName name="SCDPT4_8299999_19" localSheetId="3">'GMIC_2020-Annu_SCDPT4'!$U$274</definedName>
    <definedName name="SCDPT4_8299999_20" localSheetId="3">'GMIC_2020-Annu_SCDPT4'!$V$274</definedName>
    <definedName name="SCDPT4_8299999_7" localSheetId="3">'GMIC_2020-Annu_SCDPT4'!$I$274</definedName>
    <definedName name="SCDPT4_8299999_8" localSheetId="3">'GMIC_2020-Annu_SCDPT4'!$J$274</definedName>
    <definedName name="SCDPT4_8299999_9" localSheetId="3">'GMIC_2020-Annu_SCDPT4'!$K$274</definedName>
    <definedName name="SCDPT4_82BEGIN_1" localSheetId="3">'GMIC_2020-Annu_SCDPT4'!$C$271</definedName>
    <definedName name="SCDPT4_82BEGIN_10" localSheetId="3">'GMIC_2020-Annu_SCDPT4'!$L$271</definedName>
    <definedName name="SCDPT4_82BEGIN_11" localSheetId="3">'GMIC_2020-Annu_SCDPT4'!$M$271</definedName>
    <definedName name="SCDPT4_82BEGIN_12" localSheetId="3">'GMIC_2020-Annu_SCDPT4'!$N$271</definedName>
    <definedName name="SCDPT4_82BEGIN_13" localSheetId="3">'GMIC_2020-Annu_SCDPT4'!$O$271</definedName>
    <definedName name="SCDPT4_82BEGIN_14" localSheetId="3">'GMIC_2020-Annu_SCDPT4'!$P$271</definedName>
    <definedName name="SCDPT4_82BEGIN_15" localSheetId="3">'GMIC_2020-Annu_SCDPT4'!$Q$271</definedName>
    <definedName name="SCDPT4_82BEGIN_16" localSheetId="3">'GMIC_2020-Annu_SCDPT4'!$R$271</definedName>
    <definedName name="SCDPT4_82BEGIN_17" localSheetId="3">'GMIC_2020-Annu_SCDPT4'!$S$271</definedName>
    <definedName name="SCDPT4_82BEGIN_18" localSheetId="3">'GMIC_2020-Annu_SCDPT4'!$T$271</definedName>
    <definedName name="SCDPT4_82BEGIN_19" localSheetId="3">'GMIC_2020-Annu_SCDPT4'!$U$271</definedName>
    <definedName name="SCDPT4_82BEGIN_2" localSheetId="3">'GMIC_2020-Annu_SCDPT4'!$D$271</definedName>
    <definedName name="SCDPT4_82BEGIN_20" localSheetId="3">'GMIC_2020-Annu_SCDPT4'!$V$271</definedName>
    <definedName name="SCDPT4_82BEGIN_21" localSheetId="3">'GMIC_2020-Annu_SCDPT4'!$W$271</definedName>
    <definedName name="SCDPT4_82BEGIN_22" localSheetId="3">'GMIC_2020-Annu_SCDPT4'!$X$271</definedName>
    <definedName name="SCDPT4_82BEGIN_23" localSheetId="3">'GMIC_2020-Annu_SCDPT4'!$Y$271</definedName>
    <definedName name="SCDPT4_82BEGIN_24" localSheetId="3">'GMIC_2020-Annu_SCDPT4'!$Z$271</definedName>
    <definedName name="SCDPT4_82BEGIN_25" localSheetId="3">'GMIC_2020-Annu_SCDPT4'!$AA$271</definedName>
    <definedName name="SCDPT4_82BEGIN_26" localSheetId="3">'GMIC_2020-Annu_SCDPT4'!$AB$271</definedName>
    <definedName name="SCDPT4_82BEGIN_3" localSheetId="3">'GMIC_2020-Annu_SCDPT4'!$E$271</definedName>
    <definedName name="SCDPT4_82BEGIN_4" localSheetId="3">'GMIC_2020-Annu_SCDPT4'!$F$271</definedName>
    <definedName name="SCDPT4_82BEGIN_5" localSheetId="3">'GMIC_2020-Annu_SCDPT4'!$G$271</definedName>
    <definedName name="SCDPT4_82BEGIN_6" localSheetId="3">'GMIC_2020-Annu_SCDPT4'!$H$271</definedName>
    <definedName name="SCDPT4_82BEGIN_7" localSheetId="3">'GMIC_2020-Annu_SCDPT4'!$I$271</definedName>
    <definedName name="SCDPT4_82BEGIN_8" localSheetId="3">'GMIC_2020-Annu_SCDPT4'!$J$271</definedName>
    <definedName name="SCDPT4_82BEGIN_9" localSheetId="3">'GMIC_2020-Annu_SCDPT4'!$K$271</definedName>
    <definedName name="SCDPT4_82ENDIN_10" localSheetId="3">'GMIC_2020-Annu_SCDPT4'!$L$273</definedName>
    <definedName name="SCDPT4_82ENDIN_11" localSheetId="3">'GMIC_2020-Annu_SCDPT4'!$M$273</definedName>
    <definedName name="SCDPT4_82ENDIN_12" localSheetId="3">'GMIC_2020-Annu_SCDPT4'!$N$273</definedName>
    <definedName name="SCDPT4_82ENDIN_13" localSheetId="3">'GMIC_2020-Annu_SCDPT4'!$O$273</definedName>
    <definedName name="SCDPT4_82ENDIN_14" localSheetId="3">'GMIC_2020-Annu_SCDPT4'!$P$273</definedName>
    <definedName name="SCDPT4_82ENDIN_15" localSheetId="3">'GMIC_2020-Annu_SCDPT4'!$Q$273</definedName>
    <definedName name="SCDPT4_82ENDIN_16" localSheetId="3">'GMIC_2020-Annu_SCDPT4'!$R$273</definedName>
    <definedName name="SCDPT4_82ENDIN_17" localSheetId="3">'GMIC_2020-Annu_SCDPT4'!$S$273</definedName>
    <definedName name="SCDPT4_82ENDIN_18" localSheetId="3">'GMIC_2020-Annu_SCDPT4'!$T$273</definedName>
    <definedName name="SCDPT4_82ENDIN_19" localSheetId="3">'GMIC_2020-Annu_SCDPT4'!$U$273</definedName>
    <definedName name="SCDPT4_82ENDIN_2" localSheetId="3">'GMIC_2020-Annu_SCDPT4'!$D$273</definedName>
    <definedName name="SCDPT4_82ENDIN_20" localSheetId="3">'GMIC_2020-Annu_SCDPT4'!$V$273</definedName>
    <definedName name="SCDPT4_82ENDIN_21" localSheetId="3">'GMIC_2020-Annu_SCDPT4'!$W$273</definedName>
    <definedName name="SCDPT4_82ENDIN_22" localSheetId="3">'GMIC_2020-Annu_SCDPT4'!$X$273</definedName>
    <definedName name="SCDPT4_82ENDIN_23" localSheetId="3">'GMIC_2020-Annu_SCDPT4'!$Y$273</definedName>
    <definedName name="SCDPT4_82ENDIN_24" localSheetId="3">'GMIC_2020-Annu_SCDPT4'!$Z$273</definedName>
    <definedName name="SCDPT4_82ENDIN_25" localSheetId="3">'GMIC_2020-Annu_SCDPT4'!$AA$273</definedName>
    <definedName name="SCDPT4_82ENDIN_26" localSheetId="3">'GMIC_2020-Annu_SCDPT4'!$AB$273</definedName>
    <definedName name="SCDPT4_82ENDIN_3" localSheetId="3">'GMIC_2020-Annu_SCDPT4'!$E$273</definedName>
    <definedName name="SCDPT4_82ENDIN_4" localSheetId="3">'GMIC_2020-Annu_SCDPT4'!$F$273</definedName>
    <definedName name="SCDPT4_82ENDIN_5" localSheetId="3">'GMIC_2020-Annu_SCDPT4'!$G$273</definedName>
    <definedName name="SCDPT4_82ENDIN_6" localSheetId="3">'GMIC_2020-Annu_SCDPT4'!$H$273</definedName>
    <definedName name="SCDPT4_82ENDIN_7" localSheetId="3">'GMIC_2020-Annu_SCDPT4'!$I$273</definedName>
    <definedName name="SCDPT4_82ENDIN_8" localSheetId="3">'GMIC_2020-Annu_SCDPT4'!$J$273</definedName>
    <definedName name="SCDPT4_82ENDIN_9" localSheetId="3">'GMIC_2020-Annu_SCDPT4'!$K$273</definedName>
    <definedName name="SCDPT4_8399997_10" localSheetId="3">'GMIC_2020-Annu_SCDPT4'!$L$275</definedName>
    <definedName name="SCDPT4_8399997_11" localSheetId="3">'GMIC_2020-Annu_SCDPT4'!$M$275</definedName>
    <definedName name="SCDPT4_8399997_12" localSheetId="3">'GMIC_2020-Annu_SCDPT4'!$N$275</definedName>
    <definedName name="SCDPT4_8399997_13" localSheetId="3">'GMIC_2020-Annu_SCDPT4'!$O$275</definedName>
    <definedName name="SCDPT4_8399997_14" localSheetId="3">'GMIC_2020-Annu_SCDPT4'!$P$275</definedName>
    <definedName name="SCDPT4_8399997_15" localSheetId="3">'GMIC_2020-Annu_SCDPT4'!$Q$275</definedName>
    <definedName name="SCDPT4_8399997_16" localSheetId="3">'GMIC_2020-Annu_SCDPT4'!$R$275</definedName>
    <definedName name="SCDPT4_8399997_17" localSheetId="3">'GMIC_2020-Annu_SCDPT4'!$S$275</definedName>
    <definedName name="SCDPT4_8399997_18" localSheetId="3">'GMIC_2020-Annu_SCDPT4'!$T$275</definedName>
    <definedName name="SCDPT4_8399997_19" localSheetId="3">'GMIC_2020-Annu_SCDPT4'!$U$275</definedName>
    <definedName name="SCDPT4_8399997_20" localSheetId="3">'GMIC_2020-Annu_SCDPT4'!$V$275</definedName>
    <definedName name="SCDPT4_8399997_7" localSheetId="3">'GMIC_2020-Annu_SCDPT4'!$I$275</definedName>
    <definedName name="SCDPT4_8399997_8" localSheetId="3">'GMIC_2020-Annu_SCDPT4'!$J$275</definedName>
    <definedName name="SCDPT4_8399997_9" localSheetId="3">'GMIC_2020-Annu_SCDPT4'!$K$275</definedName>
    <definedName name="SCDPT4_8399998_10" localSheetId="3">'GMIC_2020-Annu_SCDPT4'!$L$276</definedName>
    <definedName name="SCDPT4_8399998_11" localSheetId="3">'GMIC_2020-Annu_SCDPT4'!$M$276</definedName>
    <definedName name="SCDPT4_8399998_12" localSheetId="3">'GMIC_2020-Annu_SCDPT4'!$N$276</definedName>
    <definedName name="SCDPT4_8399998_13" localSheetId="3">'GMIC_2020-Annu_SCDPT4'!$O$276</definedName>
    <definedName name="SCDPT4_8399998_14" localSheetId="3">'GMIC_2020-Annu_SCDPT4'!$P$276</definedName>
    <definedName name="SCDPT4_8399998_15" localSheetId="3">'GMIC_2020-Annu_SCDPT4'!$Q$276</definedName>
    <definedName name="SCDPT4_8399998_16" localSheetId="3">'GMIC_2020-Annu_SCDPT4'!$R$276</definedName>
    <definedName name="SCDPT4_8399998_17" localSheetId="3">'GMIC_2020-Annu_SCDPT4'!$S$276</definedName>
    <definedName name="SCDPT4_8399998_18" localSheetId="3">'GMIC_2020-Annu_SCDPT4'!$T$276</definedName>
    <definedName name="SCDPT4_8399998_19" localSheetId="3">'GMIC_2020-Annu_SCDPT4'!$U$276</definedName>
    <definedName name="SCDPT4_8399998_20" localSheetId="3">'GMIC_2020-Annu_SCDPT4'!$V$276</definedName>
    <definedName name="SCDPT4_8399998_7" localSheetId="3">'GMIC_2020-Annu_SCDPT4'!$I$276</definedName>
    <definedName name="SCDPT4_8399998_8" localSheetId="3">'GMIC_2020-Annu_SCDPT4'!$J$276</definedName>
    <definedName name="SCDPT4_8399998_9" localSheetId="3">'GMIC_2020-Annu_SCDPT4'!$K$276</definedName>
    <definedName name="SCDPT4_8399999_10" localSheetId="3">'GMIC_2020-Annu_SCDPT4'!$L$277</definedName>
    <definedName name="SCDPT4_8399999_11" localSheetId="3">'GMIC_2020-Annu_SCDPT4'!$M$277</definedName>
    <definedName name="SCDPT4_8399999_12" localSheetId="3">'GMIC_2020-Annu_SCDPT4'!$N$277</definedName>
    <definedName name="SCDPT4_8399999_13" localSheetId="3">'GMIC_2020-Annu_SCDPT4'!$O$277</definedName>
    <definedName name="SCDPT4_8399999_14" localSheetId="3">'GMIC_2020-Annu_SCDPT4'!$P$277</definedName>
    <definedName name="SCDPT4_8399999_15" localSheetId="3">'GMIC_2020-Annu_SCDPT4'!$Q$277</definedName>
    <definedName name="SCDPT4_8399999_16" localSheetId="3">'GMIC_2020-Annu_SCDPT4'!$R$277</definedName>
    <definedName name="SCDPT4_8399999_17" localSheetId="3">'GMIC_2020-Annu_SCDPT4'!$S$277</definedName>
    <definedName name="SCDPT4_8399999_18" localSheetId="3">'GMIC_2020-Annu_SCDPT4'!$T$277</definedName>
    <definedName name="SCDPT4_8399999_19" localSheetId="3">'GMIC_2020-Annu_SCDPT4'!$U$277</definedName>
    <definedName name="SCDPT4_8399999_20" localSheetId="3">'GMIC_2020-Annu_SCDPT4'!$V$277</definedName>
    <definedName name="SCDPT4_8399999_7" localSheetId="3">'GMIC_2020-Annu_SCDPT4'!$I$277</definedName>
    <definedName name="SCDPT4_8399999_8" localSheetId="3">'GMIC_2020-Annu_SCDPT4'!$J$277</definedName>
    <definedName name="SCDPT4_8399999_9" localSheetId="3">'GMIC_2020-Annu_SCDPT4'!$K$277</definedName>
    <definedName name="SCDPT4_8400000_Range" localSheetId="3">'GMIC_2020-Annu_SCDPT4'!$B$278:$AB$280</definedName>
    <definedName name="SCDPT4_8499999_10" localSheetId="3">'GMIC_2020-Annu_SCDPT4'!$L$281</definedName>
    <definedName name="SCDPT4_8499999_11" localSheetId="3">'GMIC_2020-Annu_SCDPT4'!$M$281</definedName>
    <definedName name="SCDPT4_8499999_12" localSheetId="3">'GMIC_2020-Annu_SCDPT4'!$N$281</definedName>
    <definedName name="SCDPT4_8499999_13" localSheetId="3">'GMIC_2020-Annu_SCDPT4'!$O$281</definedName>
    <definedName name="SCDPT4_8499999_14" localSheetId="3">'GMIC_2020-Annu_SCDPT4'!$P$281</definedName>
    <definedName name="SCDPT4_8499999_15" localSheetId="3">'GMIC_2020-Annu_SCDPT4'!$Q$281</definedName>
    <definedName name="SCDPT4_8499999_16" localSheetId="3">'GMIC_2020-Annu_SCDPT4'!$R$281</definedName>
    <definedName name="SCDPT4_8499999_17" localSheetId="3">'GMIC_2020-Annu_SCDPT4'!$S$281</definedName>
    <definedName name="SCDPT4_8499999_18" localSheetId="3">'GMIC_2020-Annu_SCDPT4'!$T$281</definedName>
    <definedName name="SCDPT4_8499999_19" localSheetId="3">'GMIC_2020-Annu_SCDPT4'!$U$281</definedName>
    <definedName name="SCDPT4_8499999_20" localSheetId="3">'GMIC_2020-Annu_SCDPT4'!$V$281</definedName>
    <definedName name="SCDPT4_8499999_7" localSheetId="3">'GMIC_2020-Annu_SCDPT4'!$I$281</definedName>
    <definedName name="SCDPT4_8499999_9" localSheetId="3">'GMIC_2020-Annu_SCDPT4'!$K$281</definedName>
    <definedName name="SCDPT4_84BEGIN_1" localSheetId="3">'GMIC_2020-Annu_SCDPT4'!$C$278</definedName>
    <definedName name="SCDPT4_84BEGIN_10" localSheetId="3">'GMIC_2020-Annu_SCDPT4'!$L$278</definedName>
    <definedName name="SCDPT4_84BEGIN_11" localSheetId="3">'GMIC_2020-Annu_SCDPT4'!$M$278</definedName>
    <definedName name="SCDPT4_84BEGIN_12" localSheetId="3">'GMIC_2020-Annu_SCDPT4'!$N$278</definedName>
    <definedName name="SCDPT4_84BEGIN_13" localSheetId="3">'GMIC_2020-Annu_SCDPT4'!$O$278</definedName>
    <definedName name="SCDPT4_84BEGIN_14" localSheetId="3">'GMIC_2020-Annu_SCDPT4'!$P$278</definedName>
    <definedName name="SCDPT4_84BEGIN_15" localSheetId="3">'GMIC_2020-Annu_SCDPT4'!$Q$278</definedName>
    <definedName name="SCDPT4_84BEGIN_16" localSheetId="3">'GMIC_2020-Annu_SCDPT4'!$R$278</definedName>
    <definedName name="SCDPT4_84BEGIN_17" localSheetId="3">'GMIC_2020-Annu_SCDPT4'!$S$278</definedName>
    <definedName name="SCDPT4_84BEGIN_18" localSheetId="3">'GMIC_2020-Annu_SCDPT4'!$T$278</definedName>
    <definedName name="SCDPT4_84BEGIN_19" localSheetId="3">'GMIC_2020-Annu_SCDPT4'!$U$278</definedName>
    <definedName name="SCDPT4_84BEGIN_2" localSheetId="3">'GMIC_2020-Annu_SCDPT4'!$D$278</definedName>
    <definedName name="SCDPT4_84BEGIN_20" localSheetId="3">'GMIC_2020-Annu_SCDPT4'!$V$278</definedName>
    <definedName name="SCDPT4_84BEGIN_21" localSheetId="3">'GMIC_2020-Annu_SCDPT4'!$W$278</definedName>
    <definedName name="SCDPT4_84BEGIN_22" localSheetId="3">'GMIC_2020-Annu_SCDPT4'!$X$278</definedName>
    <definedName name="SCDPT4_84BEGIN_23" localSheetId="3">'GMIC_2020-Annu_SCDPT4'!$Y$278</definedName>
    <definedName name="SCDPT4_84BEGIN_24" localSheetId="3">'GMIC_2020-Annu_SCDPT4'!$Z$278</definedName>
    <definedName name="SCDPT4_84BEGIN_25" localSheetId="3">'GMIC_2020-Annu_SCDPT4'!$AA$278</definedName>
    <definedName name="SCDPT4_84BEGIN_26" localSheetId="3">'GMIC_2020-Annu_SCDPT4'!$AB$278</definedName>
    <definedName name="SCDPT4_84BEGIN_3" localSheetId="3">'GMIC_2020-Annu_SCDPT4'!$E$278</definedName>
    <definedName name="SCDPT4_84BEGIN_4" localSheetId="3">'GMIC_2020-Annu_SCDPT4'!$F$278</definedName>
    <definedName name="SCDPT4_84BEGIN_5" localSheetId="3">'GMIC_2020-Annu_SCDPT4'!$G$278</definedName>
    <definedName name="SCDPT4_84BEGIN_6" localSheetId="3">'GMIC_2020-Annu_SCDPT4'!$H$278</definedName>
    <definedName name="SCDPT4_84BEGIN_7" localSheetId="3">'GMIC_2020-Annu_SCDPT4'!$I$278</definedName>
    <definedName name="SCDPT4_84BEGIN_8" localSheetId="3">'GMIC_2020-Annu_SCDPT4'!$J$278</definedName>
    <definedName name="SCDPT4_84BEGIN_9" localSheetId="3">'GMIC_2020-Annu_SCDPT4'!$K$278</definedName>
    <definedName name="SCDPT4_84ENDIN_10" localSheetId="3">'GMIC_2020-Annu_SCDPT4'!$L$280</definedName>
    <definedName name="SCDPT4_84ENDIN_11" localSheetId="3">'GMIC_2020-Annu_SCDPT4'!$M$280</definedName>
    <definedName name="SCDPT4_84ENDIN_12" localSheetId="3">'GMIC_2020-Annu_SCDPT4'!$N$280</definedName>
    <definedName name="SCDPT4_84ENDIN_13" localSheetId="3">'GMIC_2020-Annu_SCDPT4'!$O$280</definedName>
    <definedName name="SCDPT4_84ENDIN_14" localSheetId="3">'GMIC_2020-Annu_SCDPT4'!$P$280</definedName>
    <definedName name="SCDPT4_84ENDIN_15" localSheetId="3">'GMIC_2020-Annu_SCDPT4'!$Q$280</definedName>
    <definedName name="SCDPT4_84ENDIN_16" localSheetId="3">'GMIC_2020-Annu_SCDPT4'!$R$280</definedName>
    <definedName name="SCDPT4_84ENDIN_17" localSheetId="3">'GMIC_2020-Annu_SCDPT4'!$S$280</definedName>
    <definedName name="SCDPT4_84ENDIN_18" localSheetId="3">'GMIC_2020-Annu_SCDPT4'!$T$280</definedName>
    <definedName name="SCDPT4_84ENDIN_19" localSheetId="3">'GMIC_2020-Annu_SCDPT4'!$U$280</definedName>
    <definedName name="SCDPT4_84ENDIN_2" localSheetId="3">'GMIC_2020-Annu_SCDPT4'!$D$280</definedName>
    <definedName name="SCDPT4_84ENDIN_20" localSheetId="3">'GMIC_2020-Annu_SCDPT4'!$V$280</definedName>
    <definedName name="SCDPT4_84ENDIN_21" localSheetId="3">'GMIC_2020-Annu_SCDPT4'!$W$280</definedName>
    <definedName name="SCDPT4_84ENDIN_22" localSheetId="3">'GMIC_2020-Annu_SCDPT4'!$X$280</definedName>
    <definedName name="SCDPT4_84ENDIN_23" localSheetId="3">'GMIC_2020-Annu_SCDPT4'!$Y$280</definedName>
    <definedName name="SCDPT4_84ENDIN_24" localSheetId="3">'GMIC_2020-Annu_SCDPT4'!$Z$280</definedName>
    <definedName name="SCDPT4_84ENDIN_25" localSheetId="3">'GMIC_2020-Annu_SCDPT4'!$AA$280</definedName>
    <definedName name="SCDPT4_84ENDIN_26" localSheetId="3">'GMIC_2020-Annu_SCDPT4'!$AB$280</definedName>
    <definedName name="SCDPT4_84ENDIN_3" localSheetId="3">'GMIC_2020-Annu_SCDPT4'!$E$280</definedName>
    <definedName name="SCDPT4_84ENDIN_4" localSheetId="3">'GMIC_2020-Annu_SCDPT4'!$F$280</definedName>
    <definedName name="SCDPT4_84ENDIN_5" localSheetId="3">'GMIC_2020-Annu_SCDPT4'!$G$280</definedName>
    <definedName name="SCDPT4_84ENDIN_6" localSheetId="3">'GMIC_2020-Annu_SCDPT4'!$H$280</definedName>
    <definedName name="SCDPT4_84ENDIN_7" localSheetId="3">'GMIC_2020-Annu_SCDPT4'!$I$280</definedName>
    <definedName name="SCDPT4_84ENDIN_8" localSheetId="3">'GMIC_2020-Annu_SCDPT4'!$J$280</definedName>
    <definedName name="SCDPT4_84ENDIN_9" localSheetId="3">'GMIC_2020-Annu_SCDPT4'!$K$280</definedName>
    <definedName name="SCDPT4_8500000_Range" localSheetId="3">'GMIC_2020-Annu_SCDPT4'!$B$282:$AB$284</definedName>
    <definedName name="SCDPT4_8599999_10" localSheetId="3">'GMIC_2020-Annu_SCDPT4'!$L$285</definedName>
    <definedName name="SCDPT4_8599999_11" localSheetId="3">'GMIC_2020-Annu_SCDPT4'!$M$285</definedName>
    <definedName name="SCDPT4_8599999_12" localSheetId="3">'GMIC_2020-Annu_SCDPT4'!$N$285</definedName>
    <definedName name="SCDPT4_8599999_13" localSheetId="3">'GMIC_2020-Annu_SCDPT4'!$O$285</definedName>
    <definedName name="SCDPT4_8599999_14" localSheetId="3">'GMIC_2020-Annu_SCDPT4'!$P$285</definedName>
    <definedName name="SCDPT4_8599999_15" localSheetId="3">'GMIC_2020-Annu_SCDPT4'!$Q$285</definedName>
    <definedName name="SCDPT4_8599999_16" localSheetId="3">'GMIC_2020-Annu_SCDPT4'!$R$285</definedName>
    <definedName name="SCDPT4_8599999_17" localSheetId="3">'GMIC_2020-Annu_SCDPT4'!$S$285</definedName>
    <definedName name="SCDPT4_8599999_18" localSheetId="3">'GMIC_2020-Annu_SCDPT4'!$T$285</definedName>
    <definedName name="SCDPT4_8599999_19" localSheetId="3">'GMIC_2020-Annu_SCDPT4'!$U$285</definedName>
    <definedName name="SCDPT4_8599999_20" localSheetId="3">'GMIC_2020-Annu_SCDPT4'!$V$285</definedName>
    <definedName name="SCDPT4_8599999_7" localSheetId="3">'GMIC_2020-Annu_SCDPT4'!$I$285</definedName>
    <definedName name="SCDPT4_8599999_9" localSheetId="3">'GMIC_2020-Annu_SCDPT4'!$K$285</definedName>
    <definedName name="SCDPT4_85BEGIN_1" localSheetId="3">'GMIC_2020-Annu_SCDPT4'!$C$282</definedName>
    <definedName name="SCDPT4_85BEGIN_10" localSheetId="3">'GMIC_2020-Annu_SCDPT4'!$L$282</definedName>
    <definedName name="SCDPT4_85BEGIN_11" localSheetId="3">'GMIC_2020-Annu_SCDPT4'!$M$282</definedName>
    <definedName name="SCDPT4_85BEGIN_12" localSheetId="3">'GMIC_2020-Annu_SCDPT4'!$N$282</definedName>
    <definedName name="SCDPT4_85BEGIN_13" localSheetId="3">'GMIC_2020-Annu_SCDPT4'!$O$282</definedName>
    <definedName name="SCDPT4_85BEGIN_14" localSheetId="3">'GMIC_2020-Annu_SCDPT4'!$P$282</definedName>
    <definedName name="SCDPT4_85BEGIN_15" localSheetId="3">'GMIC_2020-Annu_SCDPT4'!$Q$282</definedName>
    <definedName name="SCDPT4_85BEGIN_16" localSheetId="3">'GMIC_2020-Annu_SCDPT4'!$R$282</definedName>
    <definedName name="SCDPT4_85BEGIN_17" localSheetId="3">'GMIC_2020-Annu_SCDPT4'!$S$282</definedName>
    <definedName name="SCDPT4_85BEGIN_18" localSheetId="3">'GMIC_2020-Annu_SCDPT4'!$T$282</definedName>
    <definedName name="SCDPT4_85BEGIN_19" localSheetId="3">'GMIC_2020-Annu_SCDPT4'!$U$282</definedName>
    <definedName name="SCDPT4_85BEGIN_2" localSheetId="3">'GMIC_2020-Annu_SCDPT4'!$D$282</definedName>
    <definedName name="SCDPT4_85BEGIN_20" localSheetId="3">'GMIC_2020-Annu_SCDPT4'!$V$282</definedName>
    <definedName name="SCDPT4_85BEGIN_21" localSheetId="3">'GMIC_2020-Annu_SCDPT4'!$W$282</definedName>
    <definedName name="SCDPT4_85BEGIN_22" localSheetId="3">'GMIC_2020-Annu_SCDPT4'!$X$282</definedName>
    <definedName name="SCDPT4_85BEGIN_23" localSheetId="3">'GMIC_2020-Annu_SCDPT4'!$Y$282</definedName>
    <definedName name="SCDPT4_85BEGIN_24" localSheetId="3">'GMIC_2020-Annu_SCDPT4'!$Z$282</definedName>
    <definedName name="SCDPT4_85BEGIN_25" localSheetId="3">'GMIC_2020-Annu_SCDPT4'!$AA$282</definedName>
    <definedName name="SCDPT4_85BEGIN_26" localSheetId="3">'GMIC_2020-Annu_SCDPT4'!$AB$282</definedName>
    <definedName name="SCDPT4_85BEGIN_3" localSheetId="3">'GMIC_2020-Annu_SCDPT4'!$E$282</definedName>
    <definedName name="SCDPT4_85BEGIN_4" localSheetId="3">'GMIC_2020-Annu_SCDPT4'!$F$282</definedName>
    <definedName name="SCDPT4_85BEGIN_5" localSheetId="3">'GMIC_2020-Annu_SCDPT4'!$G$282</definedName>
    <definedName name="SCDPT4_85BEGIN_6" localSheetId="3">'GMIC_2020-Annu_SCDPT4'!$H$282</definedName>
    <definedName name="SCDPT4_85BEGIN_7" localSheetId="3">'GMIC_2020-Annu_SCDPT4'!$I$282</definedName>
    <definedName name="SCDPT4_85BEGIN_8" localSheetId="3">'GMIC_2020-Annu_SCDPT4'!$J$282</definedName>
    <definedName name="SCDPT4_85BEGIN_9" localSheetId="3">'GMIC_2020-Annu_SCDPT4'!$K$282</definedName>
    <definedName name="SCDPT4_85ENDIN_10" localSheetId="3">'GMIC_2020-Annu_SCDPT4'!$L$284</definedName>
    <definedName name="SCDPT4_85ENDIN_11" localSheetId="3">'GMIC_2020-Annu_SCDPT4'!$M$284</definedName>
    <definedName name="SCDPT4_85ENDIN_12" localSheetId="3">'GMIC_2020-Annu_SCDPT4'!$N$284</definedName>
    <definedName name="SCDPT4_85ENDIN_13" localSheetId="3">'GMIC_2020-Annu_SCDPT4'!$O$284</definedName>
    <definedName name="SCDPT4_85ENDIN_14" localSheetId="3">'GMIC_2020-Annu_SCDPT4'!$P$284</definedName>
    <definedName name="SCDPT4_85ENDIN_15" localSheetId="3">'GMIC_2020-Annu_SCDPT4'!$Q$284</definedName>
    <definedName name="SCDPT4_85ENDIN_16" localSheetId="3">'GMIC_2020-Annu_SCDPT4'!$R$284</definedName>
    <definedName name="SCDPT4_85ENDIN_17" localSheetId="3">'GMIC_2020-Annu_SCDPT4'!$S$284</definedName>
    <definedName name="SCDPT4_85ENDIN_18" localSheetId="3">'GMIC_2020-Annu_SCDPT4'!$T$284</definedName>
    <definedName name="SCDPT4_85ENDIN_19" localSheetId="3">'GMIC_2020-Annu_SCDPT4'!$U$284</definedName>
    <definedName name="SCDPT4_85ENDIN_2" localSheetId="3">'GMIC_2020-Annu_SCDPT4'!$D$284</definedName>
    <definedName name="SCDPT4_85ENDIN_20" localSheetId="3">'GMIC_2020-Annu_SCDPT4'!$V$284</definedName>
    <definedName name="SCDPT4_85ENDIN_21" localSheetId="3">'GMIC_2020-Annu_SCDPT4'!$W$284</definedName>
    <definedName name="SCDPT4_85ENDIN_22" localSheetId="3">'GMIC_2020-Annu_SCDPT4'!$X$284</definedName>
    <definedName name="SCDPT4_85ENDIN_23" localSheetId="3">'GMIC_2020-Annu_SCDPT4'!$Y$284</definedName>
    <definedName name="SCDPT4_85ENDIN_24" localSheetId="3">'GMIC_2020-Annu_SCDPT4'!$Z$284</definedName>
    <definedName name="SCDPT4_85ENDIN_25" localSheetId="3">'GMIC_2020-Annu_SCDPT4'!$AA$284</definedName>
    <definedName name="SCDPT4_85ENDIN_26" localSheetId="3">'GMIC_2020-Annu_SCDPT4'!$AB$284</definedName>
    <definedName name="SCDPT4_85ENDIN_3" localSheetId="3">'GMIC_2020-Annu_SCDPT4'!$E$284</definedName>
    <definedName name="SCDPT4_85ENDIN_4" localSheetId="3">'GMIC_2020-Annu_SCDPT4'!$F$284</definedName>
    <definedName name="SCDPT4_85ENDIN_5" localSheetId="3">'GMIC_2020-Annu_SCDPT4'!$G$284</definedName>
    <definedName name="SCDPT4_85ENDIN_6" localSheetId="3">'GMIC_2020-Annu_SCDPT4'!$H$284</definedName>
    <definedName name="SCDPT4_85ENDIN_7" localSheetId="3">'GMIC_2020-Annu_SCDPT4'!$I$284</definedName>
    <definedName name="SCDPT4_85ENDIN_8" localSheetId="3">'GMIC_2020-Annu_SCDPT4'!$J$284</definedName>
    <definedName name="SCDPT4_85ENDIN_9" localSheetId="3">'GMIC_2020-Annu_SCDPT4'!$K$284</definedName>
    <definedName name="SCDPT4_8600000_Range" localSheetId="3">'GMIC_2020-Annu_SCDPT4'!$B$286:$AB$288</definedName>
    <definedName name="SCDPT4_8699999_10" localSheetId="3">'GMIC_2020-Annu_SCDPT4'!$L$289</definedName>
    <definedName name="SCDPT4_8699999_11" localSheetId="3">'GMIC_2020-Annu_SCDPT4'!$M$289</definedName>
    <definedName name="SCDPT4_8699999_12" localSheetId="3">'GMIC_2020-Annu_SCDPT4'!$N$289</definedName>
    <definedName name="SCDPT4_8699999_13" localSheetId="3">'GMIC_2020-Annu_SCDPT4'!$O$289</definedName>
    <definedName name="SCDPT4_8699999_14" localSheetId="3">'GMIC_2020-Annu_SCDPT4'!$P$289</definedName>
    <definedName name="SCDPT4_8699999_15" localSheetId="3">'GMIC_2020-Annu_SCDPT4'!$Q$289</definedName>
    <definedName name="SCDPT4_8699999_16" localSheetId="3">'GMIC_2020-Annu_SCDPT4'!$R$289</definedName>
    <definedName name="SCDPT4_8699999_17" localSheetId="3">'GMIC_2020-Annu_SCDPT4'!$S$289</definedName>
    <definedName name="SCDPT4_8699999_18" localSheetId="3">'GMIC_2020-Annu_SCDPT4'!$T$289</definedName>
    <definedName name="SCDPT4_8699999_19" localSheetId="3">'GMIC_2020-Annu_SCDPT4'!$U$289</definedName>
    <definedName name="SCDPT4_8699999_20" localSheetId="3">'GMIC_2020-Annu_SCDPT4'!$V$289</definedName>
    <definedName name="SCDPT4_8699999_7" localSheetId="3">'GMIC_2020-Annu_SCDPT4'!$I$289</definedName>
    <definedName name="SCDPT4_8699999_9" localSheetId="3">'GMIC_2020-Annu_SCDPT4'!$K$289</definedName>
    <definedName name="SCDPT4_86BEGIN_1" localSheetId="3">'GMIC_2020-Annu_SCDPT4'!$C$286</definedName>
    <definedName name="SCDPT4_86BEGIN_10" localSheetId="3">'GMIC_2020-Annu_SCDPT4'!$L$286</definedName>
    <definedName name="SCDPT4_86BEGIN_11" localSheetId="3">'GMIC_2020-Annu_SCDPT4'!$M$286</definedName>
    <definedName name="SCDPT4_86BEGIN_12" localSheetId="3">'GMIC_2020-Annu_SCDPT4'!$N$286</definedName>
    <definedName name="SCDPT4_86BEGIN_13" localSheetId="3">'GMIC_2020-Annu_SCDPT4'!$O$286</definedName>
    <definedName name="SCDPT4_86BEGIN_14" localSheetId="3">'GMIC_2020-Annu_SCDPT4'!$P$286</definedName>
    <definedName name="SCDPT4_86BEGIN_15" localSheetId="3">'GMIC_2020-Annu_SCDPT4'!$Q$286</definedName>
    <definedName name="SCDPT4_86BEGIN_16" localSheetId="3">'GMIC_2020-Annu_SCDPT4'!$R$286</definedName>
    <definedName name="SCDPT4_86BEGIN_17" localSheetId="3">'GMIC_2020-Annu_SCDPT4'!$S$286</definedName>
    <definedName name="SCDPT4_86BEGIN_18" localSheetId="3">'GMIC_2020-Annu_SCDPT4'!$T$286</definedName>
    <definedName name="SCDPT4_86BEGIN_19" localSheetId="3">'GMIC_2020-Annu_SCDPT4'!$U$286</definedName>
    <definedName name="SCDPT4_86BEGIN_2" localSheetId="3">'GMIC_2020-Annu_SCDPT4'!$D$286</definedName>
    <definedName name="SCDPT4_86BEGIN_20" localSheetId="3">'GMIC_2020-Annu_SCDPT4'!$V$286</definedName>
    <definedName name="SCDPT4_86BEGIN_21" localSheetId="3">'GMIC_2020-Annu_SCDPT4'!$W$286</definedName>
    <definedName name="SCDPT4_86BEGIN_22" localSheetId="3">'GMIC_2020-Annu_SCDPT4'!$X$286</definedName>
    <definedName name="SCDPT4_86BEGIN_23" localSheetId="3">'GMIC_2020-Annu_SCDPT4'!$Y$286</definedName>
    <definedName name="SCDPT4_86BEGIN_24" localSheetId="3">'GMIC_2020-Annu_SCDPT4'!$Z$286</definedName>
    <definedName name="SCDPT4_86BEGIN_25" localSheetId="3">'GMIC_2020-Annu_SCDPT4'!$AA$286</definedName>
    <definedName name="SCDPT4_86BEGIN_26" localSheetId="3">'GMIC_2020-Annu_SCDPT4'!$AB$286</definedName>
    <definedName name="SCDPT4_86BEGIN_3" localSheetId="3">'GMIC_2020-Annu_SCDPT4'!$E$286</definedName>
    <definedName name="SCDPT4_86BEGIN_4" localSheetId="3">'GMIC_2020-Annu_SCDPT4'!$F$286</definedName>
    <definedName name="SCDPT4_86BEGIN_5" localSheetId="3">'GMIC_2020-Annu_SCDPT4'!$G$286</definedName>
    <definedName name="SCDPT4_86BEGIN_6" localSheetId="3">'GMIC_2020-Annu_SCDPT4'!$H$286</definedName>
    <definedName name="SCDPT4_86BEGIN_7" localSheetId="3">'GMIC_2020-Annu_SCDPT4'!$I$286</definedName>
    <definedName name="SCDPT4_86BEGIN_8" localSheetId="3">'GMIC_2020-Annu_SCDPT4'!$J$286</definedName>
    <definedName name="SCDPT4_86BEGIN_9" localSheetId="3">'GMIC_2020-Annu_SCDPT4'!$K$286</definedName>
    <definedName name="SCDPT4_86ENDIN_10" localSheetId="3">'GMIC_2020-Annu_SCDPT4'!$L$288</definedName>
    <definedName name="SCDPT4_86ENDIN_11" localSheetId="3">'GMIC_2020-Annu_SCDPT4'!$M$288</definedName>
    <definedName name="SCDPT4_86ENDIN_12" localSheetId="3">'GMIC_2020-Annu_SCDPT4'!$N$288</definedName>
    <definedName name="SCDPT4_86ENDIN_13" localSheetId="3">'GMIC_2020-Annu_SCDPT4'!$O$288</definedName>
    <definedName name="SCDPT4_86ENDIN_14" localSheetId="3">'GMIC_2020-Annu_SCDPT4'!$P$288</definedName>
    <definedName name="SCDPT4_86ENDIN_15" localSheetId="3">'GMIC_2020-Annu_SCDPT4'!$Q$288</definedName>
    <definedName name="SCDPT4_86ENDIN_16" localSheetId="3">'GMIC_2020-Annu_SCDPT4'!$R$288</definedName>
    <definedName name="SCDPT4_86ENDIN_17" localSheetId="3">'GMIC_2020-Annu_SCDPT4'!$S$288</definedName>
    <definedName name="SCDPT4_86ENDIN_18" localSheetId="3">'GMIC_2020-Annu_SCDPT4'!$T$288</definedName>
    <definedName name="SCDPT4_86ENDIN_19" localSheetId="3">'GMIC_2020-Annu_SCDPT4'!$U$288</definedName>
    <definedName name="SCDPT4_86ENDIN_2" localSheetId="3">'GMIC_2020-Annu_SCDPT4'!$D$288</definedName>
    <definedName name="SCDPT4_86ENDIN_20" localSheetId="3">'GMIC_2020-Annu_SCDPT4'!$V$288</definedName>
    <definedName name="SCDPT4_86ENDIN_21" localSheetId="3">'GMIC_2020-Annu_SCDPT4'!$W$288</definedName>
    <definedName name="SCDPT4_86ENDIN_22" localSheetId="3">'GMIC_2020-Annu_SCDPT4'!$X$288</definedName>
    <definedName name="SCDPT4_86ENDIN_23" localSheetId="3">'GMIC_2020-Annu_SCDPT4'!$Y$288</definedName>
    <definedName name="SCDPT4_86ENDIN_24" localSheetId="3">'GMIC_2020-Annu_SCDPT4'!$Z$288</definedName>
    <definedName name="SCDPT4_86ENDIN_25" localSheetId="3">'GMIC_2020-Annu_SCDPT4'!$AA$288</definedName>
    <definedName name="SCDPT4_86ENDIN_26" localSheetId="3">'GMIC_2020-Annu_SCDPT4'!$AB$288</definedName>
    <definedName name="SCDPT4_86ENDIN_3" localSheetId="3">'GMIC_2020-Annu_SCDPT4'!$E$288</definedName>
    <definedName name="SCDPT4_86ENDIN_4" localSheetId="3">'GMIC_2020-Annu_SCDPT4'!$F$288</definedName>
    <definedName name="SCDPT4_86ENDIN_5" localSheetId="3">'GMIC_2020-Annu_SCDPT4'!$G$288</definedName>
    <definedName name="SCDPT4_86ENDIN_6" localSheetId="3">'GMIC_2020-Annu_SCDPT4'!$H$288</definedName>
    <definedName name="SCDPT4_86ENDIN_7" localSheetId="3">'GMIC_2020-Annu_SCDPT4'!$I$288</definedName>
    <definedName name="SCDPT4_86ENDIN_8" localSheetId="3">'GMIC_2020-Annu_SCDPT4'!$J$288</definedName>
    <definedName name="SCDPT4_86ENDIN_9" localSheetId="3">'GMIC_2020-Annu_SCDPT4'!$K$288</definedName>
    <definedName name="SCDPT4_8700000_Range" localSheetId="3">'GMIC_2020-Annu_SCDPT4'!$B$290:$AB$292</definedName>
    <definedName name="SCDPT4_8799999_10" localSheetId="3">'GMIC_2020-Annu_SCDPT4'!$L$293</definedName>
    <definedName name="SCDPT4_8799999_11" localSheetId="3">'GMIC_2020-Annu_SCDPT4'!$M$293</definedName>
    <definedName name="SCDPT4_8799999_12" localSheetId="3">'GMIC_2020-Annu_SCDPT4'!$N$293</definedName>
    <definedName name="SCDPT4_8799999_13" localSheetId="3">'GMIC_2020-Annu_SCDPT4'!$O$293</definedName>
    <definedName name="SCDPT4_8799999_14" localSheetId="3">'GMIC_2020-Annu_SCDPT4'!$P$293</definedName>
    <definedName name="SCDPT4_8799999_15" localSheetId="3">'GMIC_2020-Annu_SCDPT4'!$Q$293</definedName>
    <definedName name="SCDPT4_8799999_16" localSheetId="3">'GMIC_2020-Annu_SCDPT4'!$R$293</definedName>
    <definedName name="SCDPT4_8799999_17" localSheetId="3">'GMIC_2020-Annu_SCDPT4'!$S$293</definedName>
    <definedName name="SCDPT4_8799999_18" localSheetId="3">'GMIC_2020-Annu_SCDPT4'!$T$293</definedName>
    <definedName name="SCDPT4_8799999_19" localSheetId="3">'GMIC_2020-Annu_SCDPT4'!$U$293</definedName>
    <definedName name="SCDPT4_8799999_20" localSheetId="3">'GMIC_2020-Annu_SCDPT4'!$V$293</definedName>
    <definedName name="SCDPT4_8799999_7" localSheetId="3">'GMIC_2020-Annu_SCDPT4'!$I$293</definedName>
    <definedName name="SCDPT4_8799999_9" localSheetId="3">'GMIC_2020-Annu_SCDPT4'!$K$293</definedName>
    <definedName name="SCDPT4_87BEGIN_1" localSheetId="3">'GMIC_2020-Annu_SCDPT4'!$C$290</definedName>
    <definedName name="SCDPT4_87BEGIN_10" localSheetId="3">'GMIC_2020-Annu_SCDPT4'!$L$290</definedName>
    <definedName name="SCDPT4_87BEGIN_11" localSheetId="3">'GMIC_2020-Annu_SCDPT4'!$M$290</definedName>
    <definedName name="SCDPT4_87BEGIN_12" localSheetId="3">'GMIC_2020-Annu_SCDPT4'!$N$290</definedName>
    <definedName name="SCDPT4_87BEGIN_13" localSheetId="3">'GMIC_2020-Annu_SCDPT4'!$O$290</definedName>
    <definedName name="SCDPT4_87BEGIN_14" localSheetId="3">'GMIC_2020-Annu_SCDPT4'!$P$290</definedName>
    <definedName name="SCDPT4_87BEGIN_15" localSheetId="3">'GMIC_2020-Annu_SCDPT4'!$Q$290</definedName>
    <definedName name="SCDPT4_87BEGIN_16" localSheetId="3">'GMIC_2020-Annu_SCDPT4'!$R$290</definedName>
    <definedName name="SCDPT4_87BEGIN_17" localSheetId="3">'GMIC_2020-Annu_SCDPT4'!$S$290</definedName>
    <definedName name="SCDPT4_87BEGIN_18" localSheetId="3">'GMIC_2020-Annu_SCDPT4'!$T$290</definedName>
    <definedName name="SCDPT4_87BEGIN_19" localSheetId="3">'GMIC_2020-Annu_SCDPT4'!$U$290</definedName>
    <definedName name="SCDPT4_87BEGIN_2" localSheetId="3">'GMIC_2020-Annu_SCDPT4'!$D$290</definedName>
    <definedName name="SCDPT4_87BEGIN_20" localSheetId="3">'GMIC_2020-Annu_SCDPT4'!$V$290</definedName>
    <definedName name="SCDPT4_87BEGIN_21" localSheetId="3">'GMIC_2020-Annu_SCDPT4'!$W$290</definedName>
    <definedName name="SCDPT4_87BEGIN_22" localSheetId="3">'GMIC_2020-Annu_SCDPT4'!$X$290</definedName>
    <definedName name="SCDPT4_87BEGIN_23" localSheetId="3">'GMIC_2020-Annu_SCDPT4'!$Y$290</definedName>
    <definedName name="SCDPT4_87BEGIN_24" localSheetId="3">'GMIC_2020-Annu_SCDPT4'!$Z$290</definedName>
    <definedName name="SCDPT4_87BEGIN_25" localSheetId="3">'GMIC_2020-Annu_SCDPT4'!$AA$290</definedName>
    <definedName name="SCDPT4_87BEGIN_26" localSheetId="3">'GMIC_2020-Annu_SCDPT4'!$AB$290</definedName>
    <definedName name="SCDPT4_87BEGIN_3" localSheetId="3">'GMIC_2020-Annu_SCDPT4'!$E$290</definedName>
    <definedName name="SCDPT4_87BEGIN_4" localSheetId="3">'GMIC_2020-Annu_SCDPT4'!$F$290</definedName>
    <definedName name="SCDPT4_87BEGIN_5" localSheetId="3">'GMIC_2020-Annu_SCDPT4'!$G$290</definedName>
    <definedName name="SCDPT4_87BEGIN_6" localSheetId="3">'GMIC_2020-Annu_SCDPT4'!$H$290</definedName>
    <definedName name="SCDPT4_87BEGIN_7" localSheetId="3">'GMIC_2020-Annu_SCDPT4'!$I$290</definedName>
    <definedName name="SCDPT4_87BEGIN_8" localSheetId="3">'GMIC_2020-Annu_SCDPT4'!$J$290</definedName>
    <definedName name="SCDPT4_87BEGIN_9" localSheetId="3">'GMIC_2020-Annu_SCDPT4'!$K$290</definedName>
    <definedName name="SCDPT4_87ENDIN_10" localSheetId="3">'GMIC_2020-Annu_SCDPT4'!$L$292</definedName>
    <definedName name="SCDPT4_87ENDIN_11" localSheetId="3">'GMIC_2020-Annu_SCDPT4'!$M$292</definedName>
    <definedName name="SCDPT4_87ENDIN_12" localSheetId="3">'GMIC_2020-Annu_SCDPT4'!$N$292</definedName>
    <definedName name="SCDPT4_87ENDIN_13" localSheetId="3">'GMIC_2020-Annu_SCDPT4'!$O$292</definedName>
    <definedName name="SCDPT4_87ENDIN_14" localSheetId="3">'GMIC_2020-Annu_SCDPT4'!$P$292</definedName>
    <definedName name="SCDPT4_87ENDIN_15" localSheetId="3">'GMIC_2020-Annu_SCDPT4'!$Q$292</definedName>
    <definedName name="SCDPT4_87ENDIN_16" localSheetId="3">'GMIC_2020-Annu_SCDPT4'!$R$292</definedName>
    <definedName name="SCDPT4_87ENDIN_17" localSheetId="3">'GMIC_2020-Annu_SCDPT4'!$S$292</definedName>
    <definedName name="SCDPT4_87ENDIN_18" localSheetId="3">'GMIC_2020-Annu_SCDPT4'!$T$292</definedName>
    <definedName name="SCDPT4_87ENDIN_19" localSheetId="3">'GMIC_2020-Annu_SCDPT4'!$U$292</definedName>
    <definedName name="SCDPT4_87ENDIN_2" localSheetId="3">'GMIC_2020-Annu_SCDPT4'!$D$292</definedName>
    <definedName name="SCDPT4_87ENDIN_20" localSheetId="3">'GMIC_2020-Annu_SCDPT4'!$V$292</definedName>
    <definedName name="SCDPT4_87ENDIN_21" localSheetId="3">'GMIC_2020-Annu_SCDPT4'!$W$292</definedName>
    <definedName name="SCDPT4_87ENDIN_22" localSheetId="3">'GMIC_2020-Annu_SCDPT4'!$X$292</definedName>
    <definedName name="SCDPT4_87ENDIN_23" localSheetId="3">'GMIC_2020-Annu_SCDPT4'!$Y$292</definedName>
    <definedName name="SCDPT4_87ENDIN_24" localSheetId="3">'GMIC_2020-Annu_SCDPT4'!$Z$292</definedName>
    <definedName name="SCDPT4_87ENDIN_25" localSheetId="3">'GMIC_2020-Annu_SCDPT4'!$AA$292</definedName>
    <definedName name="SCDPT4_87ENDIN_26" localSheetId="3">'GMIC_2020-Annu_SCDPT4'!$AB$292</definedName>
    <definedName name="SCDPT4_87ENDIN_3" localSheetId="3">'GMIC_2020-Annu_SCDPT4'!$E$292</definedName>
    <definedName name="SCDPT4_87ENDIN_4" localSheetId="3">'GMIC_2020-Annu_SCDPT4'!$F$292</definedName>
    <definedName name="SCDPT4_87ENDIN_5" localSheetId="3">'GMIC_2020-Annu_SCDPT4'!$G$292</definedName>
    <definedName name="SCDPT4_87ENDIN_6" localSheetId="3">'GMIC_2020-Annu_SCDPT4'!$H$292</definedName>
    <definedName name="SCDPT4_87ENDIN_7" localSheetId="3">'GMIC_2020-Annu_SCDPT4'!$I$292</definedName>
    <definedName name="SCDPT4_87ENDIN_8" localSheetId="3">'GMIC_2020-Annu_SCDPT4'!$J$292</definedName>
    <definedName name="SCDPT4_87ENDIN_9" localSheetId="3">'GMIC_2020-Annu_SCDPT4'!$K$292</definedName>
    <definedName name="SCDPT4_8999997_10" localSheetId="3">'GMIC_2020-Annu_SCDPT4'!$L$294</definedName>
    <definedName name="SCDPT4_8999997_11" localSheetId="3">'GMIC_2020-Annu_SCDPT4'!$M$294</definedName>
    <definedName name="SCDPT4_8999997_12" localSheetId="3">'GMIC_2020-Annu_SCDPT4'!$N$294</definedName>
    <definedName name="SCDPT4_8999997_13" localSheetId="3">'GMIC_2020-Annu_SCDPT4'!$O$294</definedName>
    <definedName name="SCDPT4_8999997_14" localSheetId="3">'GMIC_2020-Annu_SCDPT4'!$P$294</definedName>
    <definedName name="SCDPT4_8999997_15" localSheetId="3">'GMIC_2020-Annu_SCDPT4'!$Q$294</definedName>
    <definedName name="SCDPT4_8999997_16" localSheetId="3">'GMIC_2020-Annu_SCDPT4'!$R$294</definedName>
    <definedName name="SCDPT4_8999997_17" localSheetId="3">'GMIC_2020-Annu_SCDPT4'!$S$294</definedName>
    <definedName name="SCDPT4_8999997_18" localSheetId="3">'GMIC_2020-Annu_SCDPT4'!$T$294</definedName>
    <definedName name="SCDPT4_8999997_19" localSheetId="3">'GMIC_2020-Annu_SCDPT4'!$U$294</definedName>
    <definedName name="SCDPT4_8999997_20" localSheetId="3">'GMIC_2020-Annu_SCDPT4'!$V$294</definedName>
    <definedName name="SCDPT4_8999997_7" localSheetId="3">'GMIC_2020-Annu_SCDPT4'!$I$294</definedName>
    <definedName name="SCDPT4_8999997_9" localSheetId="3">'GMIC_2020-Annu_SCDPT4'!$K$294</definedName>
    <definedName name="SCDPT4_8999998_10" localSheetId="3">'GMIC_2020-Annu_SCDPT4'!$L$295</definedName>
    <definedName name="SCDPT4_8999998_11" localSheetId="3">'GMIC_2020-Annu_SCDPT4'!$M$295</definedName>
    <definedName name="SCDPT4_8999998_12" localSheetId="3">'GMIC_2020-Annu_SCDPT4'!$N$295</definedName>
    <definedName name="SCDPT4_8999998_13" localSheetId="3">'GMIC_2020-Annu_SCDPT4'!$O$295</definedName>
    <definedName name="SCDPT4_8999998_14" localSheetId="3">'GMIC_2020-Annu_SCDPT4'!$P$295</definedName>
    <definedName name="SCDPT4_8999998_15" localSheetId="3">'GMIC_2020-Annu_SCDPT4'!$Q$295</definedName>
    <definedName name="SCDPT4_8999998_16" localSheetId="3">'GMIC_2020-Annu_SCDPT4'!$R$295</definedName>
    <definedName name="SCDPT4_8999998_17" localSheetId="3">'GMIC_2020-Annu_SCDPT4'!$S$295</definedName>
    <definedName name="SCDPT4_8999998_18" localSheetId="3">'GMIC_2020-Annu_SCDPT4'!$T$295</definedName>
    <definedName name="SCDPT4_8999998_19" localSheetId="3">'GMIC_2020-Annu_SCDPT4'!$U$295</definedName>
    <definedName name="SCDPT4_8999998_20" localSheetId="3">'GMIC_2020-Annu_SCDPT4'!$V$295</definedName>
    <definedName name="SCDPT4_8999998_7" localSheetId="3">'GMIC_2020-Annu_SCDPT4'!$I$295</definedName>
    <definedName name="SCDPT4_8999998_9" localSheetId="3">'GMIC_2020-Annu_SCDPT4'!$K$295</definedName>
    <definedName name="SCDPT4_8999999_10" localSheetId="3">'GMIC_2020-Annu_SCDPT4'!$L$296</definedName>
    <definedName name="SCDPT4_8999999_11" localSheetId="3">'GMIC_2020-Annu_SCDPT4'!$M$296</definedName>
    <definedName name="SCDPT4_8999999_12" localSheetId="3">'GMIC_2020-Annu_SCDPT4'!$N$296</definedName>
    <definedName name="SCDPT4_8999999_13" localSheetId="3">'GMIC_2020-Annu_SCDPT4'!$O$296</definedName>
    <definedName name="SCDPT4_8999999_14" localSheetId="3">'GMIC_2020-Annu_SCDPT4'!$P$296</definedName>
    <definedName name="SCDPT4_8999999_15" localSheetId="3">'GMIC_2020-Annu_SCDPT4'!$Q$296</definedName>
    <definedName name="SCDPT4_8999999_16" localSheetId="3">'GMIC_2020-Annu_SCDPT4'!$R$296</definedName>
    <definedName name="SCDPT4_8999999_17" localSheetId="3">'GMIC_2020-Annu_SCDPT4'!$S$296</definedName>
    <definedName name="SCDPT4_8999999_18" localSheetId="3">'GMIC_2020-Annu_SCDPT4'!$T$296</definedName>
    <definedName name="SCDPT4_8999999_19" localSheetId="3">'GMIC_2020-Annu_SCDPT4'!$U$296</definedName>
    <definedName name="SCDPT4_8999999_20" localSheetId="3">'GMIC_2020-Annu_SCDPT4'!$V$296</definedName>
    <definedName name="SCDPT4_8999999_7" localSheetId="3">'GMIC_2020-Annu_SCDPT4'!$I$296</definedName>
    <definedName name="SCDPT4_8999999_9" localSheetId="3">'GMIC_2020-Annu_SCDPT4'!$K$296</definedName>
    <definedName name="SCDPT4_9000000_Range" localSheetId="3">'GMIC_2020-Annu_SCDPT4'!$B$297:$AB$299</definedName>
    <definedName name="SCDPT4_9099999_10" localSheetId="3">'GMIC_2020-Annu_SCDPT4'!$L$300</definedName>
    <definedName name="SCDPT4_9099999_11" localSheetId="3">'GMIC_2020-Annu_SCDPT4'!$M$300</definedName>
    <definedName name="SCDPT4_9099999_12" localSheetId="3">'GMIC_2020-Annu_SCDPT4'!$N$300</definedName>
    <definedName name="SCDPT4_9099999_13" localSheetId="3">'GMIC_2020-Annu_SCDPT4'!$O$300</definedName>
    <definedName name="SCDPT4_9099999_14" localSheetId="3">'GMIC_2020-Annu_SCDPT4'!$P$300</definedName>
    <definedName name="SCDPT4_9099999_15" localSheetId="3">'GMIC_2020-Annu_SCDPT4'!$Q$300</definedName>
    <definedName name="SCDPT4_9099999_16" localSheetId="3">'GMIC_2020-Annu_SCDPT4'!$R$300</definedName>
    <definedName name="SCDPT4_9099999_17" localSheetId="3">'GMIC_2020-Annu_SCDPT4'!$S$300</definedName>
    <definedName name="SCDPT4_9099999_18" localSheetId="3">'GMIC_2020-Annu_SCDPT4'!$T$300</definedName>
    <definedName name="SCDPT4_9099999_19" localSheetId="3">'GMIC_2020-Annu_SCDPT4'!$U$300</definedName>
    <definedName name="SCDPT4_9099999_20" localSheetId="3">'GMIC_2020-Annu_SCDPT4'!$V$300</definedName>
    <definedName name="SCDPT4_9099999_7" localSheetId="3">'GMIC_2020-Annu_SCDPT4'!$I$300</definedName>
    <definedName name="SCDPT4_9099999_9" localSheetId="3">'GMIC_2020-Annu_SCDPT4'!$K$300</definedName>
    <definedName name="SCDPT4_90BEGIN_1" localSheetId="3">'GMIC_2020-Annu_SCDPT4'!$C$297</definedName>
    <definedName name="SCDPT4_90BEGIN_10" localSheetId="3">'GMIC_2020-Annu_SCDPT4'!$L$297</definedName>
    <definedName name="SCDPT4_90BEGIN_11" localSheetId="3">'GMIC_2020-Annu_SCDPT4'!$M$297</definedName>
    <definedName name="SCDPT4_90BEGIN_12" localSheetId="3">'GMIC_2020-Annu_SCDPT4'!$N$297</definedName>
    <definedName name="SCDPT4_90BEGIN_13" localSheetId="3">'GMIC_2020-Annu_SCDPT4'!$O$297</definedName>
    <definedName name="SCDPT4_90BEGIN_14" localSheetId="3">'GMIC_2020-Annu_SCDPT4'!$P$297</definedName>
    <definedName name="SCDPT4_90BEGIN_15" localSheetId="3">'GMIC_2020-Annu_SCDPT4'!$Q$297</definedName>
    <definedName name="SCDPT4_90BEGIN_16" localSheetId="3">'GMIC_2020-Annu_SCDPT4'!$R$297</definedName>
    <definedName name="SCDPT4_90BEGIN_17" localSheetId="3">'GMIC_2020-Annu_SCDPT4'!$S$297</definedName>
    <definedName name="SCDPT4_90BEGIN_18" localSheetId="3">'GMIC_2020-Annu_SCDPT4'!$T$297</definedName>
    <definedName name="SCDPT4_90BEGIN_19" localSheetId="3">'GMIC_2020-Annu_SCDPT4'!$U$297</definedName>
    <definedName name="SCDPT4_90BEGIN_2" localSheetId="3">'GMIC_2020-Annu_SCDPT4'!$D$297</definedName>
    <definedName name="SCDPT4_90BEGIN_20" localSheetId="3">'GMIC_2020-Annu_SCDPT4'!$V$297</definedName>
    <definedName name="SCDPT4_90BEGIN_21" localSheetId="3">'GMIC_2020-Annu_SCDPT4'!$W$297</definedName>
    <definedName name="SCDPT4_90BEGIN_22" localSheetId="3">'GMIC_2020-Annu_SCDPT4'!$X$297</definedName>
    <definedName name="SCDPT4_90BEGIN_23" localSheetId="3">'GMIC_2020-Annu_SCDPT4'!$Y$297</definedName>
    <definedName name="SCDPT4_90BEGIN_24" localSheetId="3">'GMIC_2020-Annu_SCDPT4'!$Z$297</definedName>
    <definedName name="SCDPT4_90BEGIN_25" localSheetId="3">'GMIC_2020-Annu_SCDPT4'!$AA$297</definedName>
    <definedName name="SCDPT4_90BEGIN_26" localSheetId="3">'GMIC_2020-Annu_SCDPT4'!$AB$297</definedName>
    <definedName name="SCDPT4_90BEGIN_3" localSheetId="3">'GMIC_2020-Annu_SCDPT4'!$E$297</definedName>
    <definedName name="SCDPT4_90BEGIN_4" localSheetId="3">'GMIC_2020-Annu_SCDPT4'!$F$297</definedName>
    <definedName name="SCDPT4_90BEGIN_5" localSheetId="3">'GMIC_2020-Annu_SCDPT4'!$G$297</definedName>
    <definedName name="SCDPT4_90BEGIN_6" localSheetId="3">'GMIC_2020-Annu_SCDPT4'!$H$297</definedName>
    <definedName name="SCDPT4_90BEGIN_7" localSheetId="3">'GMIC_2020-Annu_SCDPT4'!$I$297</definedName>
    <definedName name="SCDPT4_90BEGIN_8" localSheetId="3">'GMIC_2020-Annu_SCDPT4'!$J$297</definedName>
    <definedName name="SCDPT4_90BEGIN_9" localSheetId="3">'GMIC_2020-Annu_SCDPT4'!$K$297</definedName>
    <definedName name="SCDPT4_90ENDIN_10" localSheetId="3">'GMIC_2020-Annu_SCDPT4'!$L$299</definedName>
    <definedName name="SCDPT4_90ENDIN_11" localSheetId="3">'GMIC_2020-Annu_SCDPT4'!$M$299</definedName>
    <definedName name="SCDPT4_90ENDIN_12" localSheetId="3">'GMIC_2020-Annu_SCDPT4'!$N$299</definedName>
    <definedName name="SCDPT4_90ENDIN_13" localSheetId="3">'GMIC_2020-Annu_SCDPT4'!$O$299</definedName>
    <definedName name="SCDPT4_90ENDIN_14" localSheetId="3">'GMIC_2020-Annu_SCDPT4'!$P$299</definedName>
    <definedName name="SCDPT4_90ENDIN_15" localSheetId="3">'GMIC_2020-Annu_SCDPT4'!$Q$299</definedName>
    <definedName name="SCDPT4_90ENDIN_16" localSheetId="3">'GMIC_2020-Annu_SCDPT4'!$R$299</definedName>
    <definedName name="SCDPT4_90ENDIN_17" localSheetId="3">'GMIC_2020-Annu_SCDPT4'!$S$299</definedName>
    <definedName name="SCDPT4_90ENDIN_18" localSheetId="3">'GMIC_2020-Annu_SCDPT4'!$T$299</definedName>
    <definedName name="SCDPT4_90ENDIN_19" localSheetId="3">'GMIC_2020-Annu_SCDPT4'!$U$299</definedName>
    <definedName name="SCDPT4_90ENDIN_2" localSheetId="3">'GMIC_2020-Annu_SCDPT4'!$D$299</definedName>
    <definedName name="SCDPT4_90ENDIN_20" localSheetId="3">'GMIC_2020-Annu_SCDPT4'!$V$299</definedName>
    <definedName name="SCDPT4_90ENDIN_21" localSheetId="3">'GMIC_2020-Annu_SCDPT4'!$W$299</definedName>
    <definedName name="SCDPT4_90ENDIN_22" localSheetId="3">'GMIC_2020-Annu_SCDPT4'!$X$299</definedName>
    <definedName name="SCDPT4_90ENDIN_23" localSheetId="3">'GMIC_2020-Annu_SCDPT4'!$Y$299</definedName>
    <definedName name="SCDPT4_90ENDIN_24" localSheetId="3">'GMIC_2020-Annu_SCDPT4'!$Z$299</definedName>
    <definedName name="SCDPT4_90ENDIN_25" localSheetId="3">'GMIC_2020-Annu_SCDPT4'!$AA$299</definedName>
    <definedName name="SCDPT4_90ENDIN_26" localSheetId="3">'GMIC_2020-Annu_SCDPT4'!$AB$299</definedName>
    <definedName name="SCDPT4_90ENDIN_3" localSheetId="3">'GMIC_2020-Annu_SCDPT4'!$E$299</definedName>
    <definedName name="SCDPT4_90ENDIN_4" localSheetId="3">'GMIC_2020-Annu_SCDPT4'!$F$299</definedName>
    <definedName name="SCDPT4_90ENDIN_5" localSheetId="3">'GMIC_2020-Annu_SCDPT4'!$G$299</definedName>
    <definedName name="SCDPT4_90ENDIN_6" localSheetId="3">'GMIC_2020-Annu_SCDPT4'!$H$299</definedName>
    <definedName name="SCDPT4_90ENDIN_7" localSheetId="3">'GMIC_2020-Annu_SCDPT4'!$I$299</definedName>
    <definedName name="SCDPT4_90ENDIN_8" localSheetId="3">'GMIC_2020-Annu_SCDPT4'!$J$299</definedName>
    <definedName name="SCDPT4_90ENDIN_9" localSheetId="3">'GMIC_2020-Annu_SCDPT4'!$K$299</definedName>
    <definedName name="SCDPT4_9100000_Range" localSheetId="3">'GMIC_2020-Annu_SCDPT4'!$B$301:$AB$303</definedName>
    <definedName name="SCDPT4_9199999_10" localSheetId="3">'GMIC_2020-Annu_SCDPT4'!$L$304</definedName>
    <definedName name="SCDPT4_9199999_11" localSheetId="3">'GMIC_2020-Annu_SCDPT4'!$M$304</definedName>
    <definedName name="SCDPT4_9199999_12" localSheetId="3">'GMIC_2020-Annu_SCDPT4'!$N$304</definedName>
    <definedName name="SCDPT4_9199999_13" localSheetId="3">'GMIC_2020-Annu_SCDPT4'!$O$304</definedName>
    <definedName name="SCDPT4_9199999_14" localSheetId="3">'GMIC_2020-Annu_SCDPT4'!$P$304</definedName>
    <definedName name="SCDPT4_9199999_15" localSheetId="3">'GMIC_2020-Annu_SCDPT4'!$Q$304</definedName>
    <definedName name="SCDPT4_9199999_16" localSheetId="3">'GMIC_2020-Annu_SCDPT4'!$R$304</definedName>
    <definedName name="SCDPT4_9199999_17" localSheetId="3">'GMIC_2020-Annu_SCDPT4'!$S$304</definedName>
    <definedName name="SCDPT4_9199999_18" localSheetId="3">'GMIC_2020-Annu_SCDPT4'!$T$304</definedName>
    <definedName name="SCDPT4_9199999_19" localSheetId="3">'GMIC_2020-Annu_SCDPT4'!$U$304</definedName>
    <definedName name="SCDPT4_9199999_20" localSheetId="3">'GMIC_2020-Annu_SCDPT4'!$V$304</definedName>
    <definedName name="SCDPT4_9199999_7" localSheetId="3">'GMIC_2020-Annu_SCDPT4'!$I$304</definedName>
    <definedName name="SCDPT4_9199999_9" localSheetId="3">'GMIC_2020-Annu_SCDPT4'!$K$304</definedName>
    <definedName name="SCDPT4_91BEGIN_1" localSheetId="3">'GMIC_2020-Annu_SCDPT4'!$C$301</definedName>
    <definedName name="SCDPT4_91BEGIN_10" localSheetId="3">'GMIC_2020-Annu_SCDPT4'!$L$301</definedName>
    <definedName name="SCDPT4_91BEGIN_11" localSheetId="3">'GMIC_2020-Annu_SCDPT4'!$M$301</definedName>
    <definedName name="SCDPT4_91BEGIN_12" localSheetId="3">'GMIC_2020-Annu_SCDPT4'!$N$301</definedName>
    <definedName name="SCDPT4_91BEGIN_13" localSheetId="3">'GMIC_2020-Annu_SCDPT4'!$O$301</definedName>
    <definedName name="SCDPT4_91BEGIN_14" localSheetId="3">'GMIC_2020-Annu_SCDPT4'!$P$301</definedName>
    <definedName name="SCDPT4_91BEGIN_15" localSheetId="3">'GMIC_2020-Annu_SCDPT4'!$Q$301</definedName>
    <definedName name="SCDPT4_91BEGIN_16" localSheetId="3">'GMIC_2020-Annu_SCDPT4'!$R$301</definedName>
    <definedName name="SCDPT4_91BEGIN_17" localSheetId="3">'GMIC_2020-Annu_SCDPT4'!$S$301</definedName>
    <definedName name="SCDPT4_91BEGIN_18" localSheetId="3">'GMIC_2020-Annu_SCDPT4'!$T$301</definedName>
    <definedName name="SCDPT4_91BEGIN_19" localSheetId="3">'GMIC_2020-Annu_SCDPT4'!$U$301</definedName>
    <definedName name="SCDPT4_91BEGIN_2" localSheetId="3">'GMIC_2020-Annu_SCDPT4'!$D$301</definedName>
    <definedName name="SCDPT4_91BEGIN_20" localSheetId="3">'GMIC_2020-Annu_SCDPT4'!$V$301</definedName>
    <definedName name="SCDPT4_91BEGIN_21" localSheetId="3">'GMIC_2020-Annu_SCDPT4'!$W$301</definedName>
    <definedName name="SCDPT4_91BEGIN_22" localSheetId="3">'GMIC_2020-Annu_SCDPT4'!$X$301</definedName>
    <definedName name="SCDPT4_91BEGIN_23" localSheetId="3">'GMIC_2020-Annu_SCDPT4'!$Y$301</definedName>
    <definedName name="SCDPT4_91BEGIN_24" localSheetId="3">'GMIC_2020-Annu_SCDPT4'!$Z$301</definedName>
    <definedName name="SCDPT4_91BEGIN_25" localSheetId="3">'GMIC_2020-Annu_SCDPT4'!$AA$301</definedName>
    <definedName name="SCDPT4_91BEGIN_26" localSheetId="3">'GMIC_2020-Annu_SCDPT4'!$AB$301</definedName>
    <definedName name="SCDPT4_91BEGIN_3" localSheetId="3">'GMIC_2020-Annu_SCDPT4'!$E$301</definedName>
    <definedName name="SCDPT4_91BEGIN_4" localSheetId="3">'GMIC_2020-Annu_SCDPT4'!$F$301</definedName>
    <definedName name="SCDPT4_91BEGIN_5" localSheetId="3">'GMIC_2020-Annu_SCDPT4'!$G$301</definedName>
    <definedName name="SCDPT4_91BEGIN_6" localSheetId="3">'GMIC_2020-Annu_SCDPT4'!$H$301</definedName>
    <definedName name="SCDPT4_91BEGIN_7" localSheetId="3">'GMIC_2020-Annu_SCDPT4'!$I$301</definedName>
    <definedName name="SCDPT4_91BEGIN_8" localSheetId="3">'GMIC_2020-Annu_SCDPT4'!$J$301</definedName>
    <definedName name="SCDPT4_91BEGIN_9" localSheetId="3">'GMIC_2020-Annu_SCDPT4'!$K$301</definedName>
    <definedName name="SCDPT4_91ENDIN_10" localSheetId="3">'GMIC_2020-Annu_SCDPT4'!$L$303</definedName>
    <definedName name="SCDPT4_91ENDIN_11" localSheetId="3">'GMIC_2020-Annu_SCDPT4'!$M$303</definedName>
    <definedName name="SCDPT4_91ENDIN_12" localSheetId="3">'GMIC_2020-Annu_SCDPT4'!$N$303</definedName>
    <definedName name="SCDPT4_91ENDIN_13" localSheetId="3">'GMIC_2020-Annu_SCDPT4'!$O$303</definedName>
    <definedName name="SCDPT4_91ENDIN_14" localSheetId="3">'GMIC_2020-Annu_SCDPT4'!$P$303</definedName>
    <definedName name="SCDPT4_91ENDIN_15" localSheetId="3">'GMIC_2020-Annu_SCDPT4'!$Q$303</definedName>
    <definedName name="SCDPT4_91ENDIN_16" localSheetId="3">'GMIC_2020-Annu_SCDPT4'!$R$303</definedName>
    <definedName name="SCDPT4_91ENDIN_17" localSheetId="3">'GMIC_2020-Annu_SCDPT4'!$S$303</definedName>
    <definedName name="SCDPT4_91ENDIN_18" localSheetId="3">'GMIC_2020-Annu_SCDPT4'!$T$303</definedName>
    <definedName name="SCDPT4_91ENDIN_19" localSheetId="3">'GMIC_2020-Annu_SCDPT4'!$U$303</definedName>
    <definedName name="SCDPT4_91ENDIN_2" localSheetId="3">'GMIC_2020-Annu_SCDPT4'!$D$303</definedName>
    <definedName name="SCDPT4_91ENDIN_20" localSheetId="3">'GMIC_2020-Annu_SCDPT4'!$V$303</definedName>
    <definedName name="SCDPT4_91ENDIN_21" localSheetId="3">'GMIC_2020-Annu_SCDPT4'!$W$303</definedName>
    <definedName name="SCDPT4_91ENDIN_22" localSheetId="3">'GMIC_2020-Annu_SCDPT4'!$X$303</definedName>
    <definedName name="SCDPT4_91ENDIN_23" localSheetId="3">'GMIC_2020-Annu_SCDPT4'!$Y$303</definedName>
    <definedName name="SCDPT4_91ENDIN_24" localSheetId="3">'GMIC_2020-Annu_SCDPT4'!$Z$303</definedName>
    <definedName name="SCDPT4_91ENDIN_25" localSheetId="3">'GMIC_2020-Annu_SCDPT4'!$AA$303</definedName>
    <definedName name="SCDPT4_91ENDIN_26" localSheetId="3">'GMIC_2020-Annu_SCDPT4'!$AB$303</definedName>
    <definedName name="SCDPT4_91ENDIN_3" localSheetId="3">'GMIC_2020-Annu_SCDPT4'!$E$303</definedName>
    <definedName name="SCDPT4_91ENDIN_4" localSheetId="3">'GMIC_2020-Annu_SCDPT4'!$F$303</definedName>
    <definedName name="SCDPT4_91ENDIN_5" localSheetId="3">'GMIC_2020-Annu_SCDPT4'!$G$303</definedName>
    <definedName name="SCDPT4_91ENDIN_6" localSheetId="3">'GMIC_2020-Annu_SCDPT4'!$H$303</definedName>
    <definedName name="SCDPT4_91ENDIN_7" localSheetId="3">'GMIC_2020-Annu_SCDPT4'!$I$303</definedName>
    <definedName name="SCDPT4_91ENDIN_8" localSheetId="3">'GMIC_2020-Annu_SCDPT4'!$J$303</definedName>
    <definedName name="SCDPT4_91ENDIN_9" localSheetId="3">'GMIC_2020-Annu_SCDPT4'!$K$303</definedName>
    <definedName name="SCDPT4_9200000_Range" localSheetId="3">'GMIC_2020-Annu_SCDPT4'!$B$305:$AB$307</definedName>
    <definedName name="SCDPT4_9299999_10" localSheetId="3">'GMIC_2020-Annu_SCDPT4'!$L$308</definedName>
    <definedName name="SCDPT4_9299999_11" localSheetId="3">'GMIC_2020-Annu_SCDPT4'!$M$308</definedName>
    <definedName name="SCDPT4_9299999_12" localSheetId="3">'GMIC_2020-Annu_SCDPT4'!$N$308</definedName>
    <definedName name="SCDPT4_9299999_13" localSheetId="3">'GMIC_2020-Annu_SCDPT4'!$O$308</definedName>
    <definedName name="SCDPT4_9299999_14" localSheetId="3">'GMIC_2020-Annu_SCDPT4'!$P$308</definedName>
    <definedName name="SCDPT4_9299999_15" localSheetId="3">'GMIC_2020-Annu_SCDPT4'!$Q$308</definedName>
    <definedName name="SCDPT4_9299999_16" localSheetId="3">'GMIC_2020-Annu_SCDPT4'!$R$308</definedName>
    <definedName name="SCDPT4_9299999_17" localSheetId="3">'GMIC_2020-Annu_SCDPT4'!$S$308</definedName>
    <definedName name="SCDPT4_9299999_18" localSheetId="3">'GMIC_2020-Annu_SCDPT4'!$T$308</definedName>
    <definedName name="SCDPT4_9299999_19" localSheetId="3">'GMIC_2020-Annu_SCDPT4'!$U$308</definedName>
    <definedName name="SCDPT4_9299999_20" localSheetId="3">'GMIC_2020-Annu_SCDPT4'!$V$308</definedName>
    <definedName name="SCDPT4_9299999_7" localSheetId="3">'GMIC_2020-Annu_SCDPT4'!$I$308</definedName>
    <definedName name="SCDPT4_9299999_9" localSheetId="3">'GMIC_2020-Annu_SCDPT4'!$K$308</definedName>
    <definedName name="SCDPT4_92BEGIN_1" localSheetId="3">'GMIC_2020-Annu_SCDPT4'!$C$305</definedName>
    <definedName name="SCDPT4_92BEGIN_10" localSheetId="3">'GMIC_2020-Annu_SCDPT4'!$L$305</definedName>
    <definedName name="SCDPT4_92BEGIN_11" localSheetId="3">'GMIC_2020-Annu_SCDPT4'!$M$305</definedName>
    <definedName name="SCDPT4_92BEGIN_12" localSheetId="3">'GMIC_2020-Annu_SCDPT4'!$N$305</definedName>
    <definedName name="SCDPT4_92BEGIN_13" localSheetId="3">'GMIC_2020-Annu_SCDPT4'!$O$305</definedName>
    <definedName name="SCDPT4_92BEGIN_14" localSheetId="3">'GMIC_2020-Annu_SCDPT4'!$P$305</definedName>
    <definedName name="SCDPT4_92BEGIN_15" localSheetId="3">'GMIC_2020-Annu_SCDPT4'!$Q$305</definedName>
    <definedName name="SCDPT4_92BEGIN_16" localSheetId="3">'GMIC_2020-Annu_SCDPT4'!$R$305</definedName>
    <definedName name="SCDPT4_92BEGIN_17" localSheetId="3">'GMIC_2020-Annu_SCDPT4'!$S$305</definedName>
    <definedName name="SCDPT4_92BEGIN_18" localSheetId="3">'GMIC_2020-Annu_SCDPT4'!$T$305</definedName>
    <definedName name="SCDPT4_92BEGIN_19" localSheetId="3">'GMIC_2020-Annu_SCDPT4'!$U$305</definedName>
    <definedName name="SCDPT4_92BEGIN_2" localSheetId="3">'GMIC_2020-Annu_SCDPT4'!$D$305</definedName>
    <definedName name="SCDPT4_92BEGIN_20" localSheetId="3">'GMIC_2020-Annu_SCDPT4'!$V$305</definedName>
    <definedName name="SCDPT4_92BEGIN_21" localSheetId="3">'GMIC_2020-Annu_SCDPT4'!$W$305</definedName>
    <definedName name="SCDPT4_92BEGIN_22" localSheetId="3">'GMIC_2020-Annu_SCDPT4'!$X$305</definedName>
    <definedName name="SCDPT4_92BEGIN_23" localSheetId="3">'GMIC_2020-Annu_SCDPT4'!$Y$305</definedName>
    <definedName name="SCDPT4_92BEGIN_24" localSheetId="3">'GMIC_2020-Annu_SCDPT4'!$Z$305</definedName>
    <definedName name="SCDPT4_92BEGIN_25" localSheetId="3">'GMIC_2020-Annu_SCDPT4'!$AA$305</definedName>
    <definedName name="SCDPT4_92BEGIN_26" localSheetId="3">'GMIC_2020-Annu_SCDPT4'!$AB$305</definedName>
    <definedName name="SCDPT4_92BEGIN_3" localSheetId="3">'GMIC_2020-Annu_SCDPT4'!$E$305</definedName>
    <definedName name="SCDPT4_92BEGIN_4" localSheetId="3">'GMIC_2020-Annu_SCDPT4'!$F$305</definedName>
    <definedName name="SCDPT4_92BEGIN_5" localSheetId="3">'GMIC_2020-Annu_SCDPT4'!$G$305</definedName>
    <definedName name="SCDPT4_92BEGIN_6" localSheetId="3">'GMIC_2020-Annu_SCDPT4'!$H$305</definedName>
    <definedName name="SCDPT4_92BEGIN_7" localSheetId="3">'GMIC_2020-Annu_SCDPT4'!$I$305</definedName>
    <definedName name="SCDPT4_92BEGIN_8" localSheetId="3">'GMIC_2020-Annu_SCDPT4'!$J$305</definedName>
    <definedName name="SCDPT4_92BEGIN_9" localSheetId="3">'GMIC_2020-Annu_SCDPT4'!$K$305</definedName>
    <definedName name="SCDPT4_92ENDIN_10" localSheetId="3">'GMIC_2020-Annu_SCDPT4'!$L$307</definedName>
    <definedName name="SCDPT4_92ENDIN_11" localSheetId="3">'GMIC_2020-Annu_SCDPT4'!$M$307</definedName>
    <definedName name="SCDPT4_92ENDIN_12" localSheetId="3">'GMIC_2020-Annu_SCDPT4'!$N$307</definedName>
    <definedName name="SCDPT4_92ENDIN_13" localSheetId="3">'GMIC_2020-Annu_SCDPT4'!$O$307</definedName>
    <definedName name="SCDPT4_92ENDIN_14" localSheetId="3">'GMIC_2020-Annu_SCDPT4'!$P$307</definedName>
    <definedName name="SCDPT4_92ENDIN_15" localSheetId="3">'GMIC_2020-Annu_SCDPT4'!$Q$307</definedName>
    <definedName name="SCDPT4_92ENDIN_16" localSheetId="3">'GMIC_2020-Annu_SCDPT4'!$R$307</definedName>
    <definedName name="SCDPT4_92ENDIN_17" localSheetId="3">'GMIC_2020-Annu_SCDPT4'!$S$307</definedName>
    <definedName name="SCDPT4_92ENDIN_18" localSheetId="3">'GMIC_2020-Annu_SCDPT4'!$T$307</definedName>
    <definedName name="SCDPT4_92ENDIN_19" localSheetId="3">'GMIC_2020-Annu_SCDPT4'!$U$307</definedName>
    <definedName name="SCDPT4_92ENDIN_2" localSheetId="3">'GMIC_2020-Annu_SCDPT4'!$D$307</definedName>
    <definedName name="SCDPT4_92ENDIN_20" localSheetId="3">'GMIC_2020-Annu_SCDPT4'!$V$307</definedName>
    <definedName name="SCDPT4_92ENDIN_21" localSheetId="3">'GMIC_2020-Annu_SCDPT4'!$W$307</definedName>
    <definedName name="SCDPT4_92ENDIN_22" localSheetId="3">'GMIC_2020-Annu_SCDPT4'!$X$307</definedName>
    <definedName name="SCDPT4_92ENDIN_23" localSheetId="3">'GMIC_2020-Annu_SCDPT4'!$Y$307</definedName>
    <definedName name="SCDPT4_92ENDIN_24" localSheetId="3">'GMIC_2020-Annu_SCDPT4'!$Z$307</definedName>
    <definedName name="SCDPT4_92ENDIN_25" localSheetId="3">'GMIC_2020-Annu_SCDPT4'!$AA$307</definedName>
    <definedName name="SCDPT4_92ENDIN_26" localSheetId="3">'GMIC_2020-Annu_SCDPT4'!$AB$307</definedName>
    <definedName name="SCDPT4_92ENDIN_3" localSheetId="3">'GMIC_2020-Annu_SCDPT4'!$E$307</definedName>
    <definedName name="SCDPT4_92ENDIN_4" localSheetId="3">'GMIC_2020-Annu_SCDPT4'!$F$307</definedName>
    <definedName name="SCDPT4_92ENDIN_5" localSheetId="3">'GMIC_2020-Annu_SCDPT4'!$G$307</definedName>
    <definedName name="SCDPT4_92ENDIN_6" localSheetId="3">'GMIC_2020-Annu_SCDPT4'!$H$307</definedName>
    <definedName name="SCDPT4_92ENDIN_7" localSheetId="3">'GMIC_2020-Annu_SCDPT4'!$I$307</definedName>
    <definedName name="SCDPT4_92ENDIN_8" localSheetId="3">'GMIC_2020-Annu_SCDPT4'!$J$307</definedName>
    <definedName name="SCDPT4_92ENDIN_9" localSheetId="3">'GMIC_2020-Annu_SCDPT4'!$K$307</definedName>
    <definedName name="SCDPT4_9300000_Range" localSheetId="3">'GMIC_2020-Annu_SCDPT4'!$B$309:$AB$311</definedName>
    <definedName name="SCDPT4_9399999_10" localSheetId="3">'GMIC_2020-Annu_SCDPT4'!$L$312</definedName>
    <definedName name="SCDPT4_9399999_11" localSheetId="3">'GMIC_2020-Annu_SCDPT4'!$M$312</definedName>
    <definedName name="SCDPT4_9399999_12" localSheetId="3">'GMIC_2020-Annu_SCDPT4'!$N$312</definedName>
    <definedName name="SCDPT4_9399999_13" localSheetId="3">'GMIC_2020-Annu_SCDPT4'!$O$312</definedName>
    <definedName name="SCDPT4_9399999_14" localSheetId="3">'GMIC_2020-Annu_SCDPT4'!$P$312</definedName>
    <definedName name="SCDPT4_9399999_15" localSheetId="3">'GMIC_2020-Annu_SCDPT4'!$Q$312</definedName>
    <definedName name="SCDPT4_9399999_16" localSheetId="3">'GMIC_2020-Annu_SCDPT4'!$R$312</definedName>
    <definedName name="SCDPT4_9399999_17" localSheetId="3">'GMIC_2020-Annu_SCDPT4'!$S$312</definedName>
    <definedName name="SCDPT4_9399999_18" localSheetId="3">'GMIC_2020-Annu_SCDPT4'!$T$312</definedName>
    <definedName name="SCDPT4_9399999_19" localSheetId="3">'GMIC_2020-Annu_SCDPT4'!$U$312</definedName>
    <definedName name="SCDPT4_9399999_20" localSheetId="3">'GMIC_2020-Annu_SCDPT4'!$V$312</definedName>
    <definedName name="SCDPT4_9399999_7" localSheetId="3">'GMIC_2020-Annu_SCDPT4'!$I$312</definedName>
    <definedName name="SCDPT4_9399999_9" localSheetId="3">'GMIC_2020-Annu_SCDPT4'!$K$312</definedName>
    <definedName name="SCDPT4_93BEGIN_1" localSheetId="3">'GMIC_2020-Annu_SCDPT4'!$C$309</definedName>
    <definedName name="SCDPT4_93BEGIN_10" localSheetId="3">'GMIC_2020-Annu_SCDPT4'!$L$309</definedName>
    <definedName name="SCDPT4_93BEGIN_11" localSheetId="3">'GMIC_2020-Annu_SCDPT4'!$M$309</definedName>
    <definedName name="SCDPT4_93BEGIN_12" localSheetId="3">'GMIC_2020-Annu_SCDPT4'!$N$309</definedName>
    <definedName name="SCDPT4_93BEGIN_13" localSheetId="3">'GMIC_2020-Annu_SCDPT4'!$O$309</definedName>
    <definedName name="SCDPT4_93BEGIN_14" localSheetId="3">'GMIC_2020-Annu_SCDPT4'!$P$309</definedName>
    <definedName name="SCDPT4_93BEGIN_15" localSheetId="3">'GMIC_2020-Annu_SCDPT4'!$Q$309</definedName>
    <definedName name="SCDPT4_93BEGIN_16" localSheetId="3">'GMIC_2020-Annu_SCDPT4'!$R$309</definedName>
    <definedName name="SCDPT4_93BEGIN_17" localSheetId="3">'GMIC_2020-Annu_SCDPT4'!$S$309</definedName>
    <definedName name="SCDPT4_93BEGIN_18" localSheetId="3">'GMIC_2020-Annu_SCDPT4'!$T$309</definedName>
    <definedName name="SCDPT4_93BEGIN_19" localSheetId="3">'GMIC_2020-Annu_SCDPT4'!$U$309</definedName>
    <definedName name="SCDPT4_93BEGIN_2" localSheetId="3">'GMIC_2020-Annu_SCDPT4'!$D$309</definedName>
    <definedName name="SCDPT4_93BEGIN_20" localSheetId="3">'GMIC_2020-Annu_SCDPT4'!$V$309</definedName>
    <definedName name="SCDPT4_93BEGIN_21" localSheetId="3">'GMIC_2020-Annu_SCDPT4'!$W$309</definedName>
    <definedName name="SCDPT4_93BEGIN_22" localSheetId="3">'GMIC_2020-Annu_SCDPT4'!$X$309</definedName>
    <definedName name="SCDPT4_93BEGIN_23" localSheetId="3">'GMIC_2020-Annu_SCDPT4'!$Y$309</definedName>
    <definedName name="SCDPT4_93BEGIN_24" localSheetId="3">'GMIC_2020-Annu_SCDPT4'!$Z$309</definedName>
    <definedName name="SCDPT4_93BEGIN_25" localSheetId="3">'GMIC_2020-Annu_SCDPT4'!$AA$309</definedName>
    <definedName name="SCDPT4_93BEGIN_26" localSheetId="3">'GMIC_2020-Annu_SCDPT4'!$AB$309</definedName>
    <definedName name="SCDPT4_93BEGIN_3" localSheetId="3">'GMIC_2020-Annu_SCDPT4'!$E$309</definedName>
    <definedName name="SCDPT4_93BEGIN_4" localSheetId="3">'GMIC_2020-Annu_SCDPT4'!$F$309</definedName>
    <definedName name="SCDPT4_93BEGIN_5" localSheetId="3">'GMIC_2020-Annu_SCDPT4'!$G$309</definedName>
    <definedName name="SCDPT4_93BEGIN_6" localSheetId="3">'GMIC_2020-Annu_SCDPT4'!$H$309</definedName>
    <definedName name="SCDPT4_93BEGIN_7" localSheetId="3">'GMIC_2020-Annu_SCDPT4'!$I$309</definedName>
    <definedName name="SCDPT4_93BEGIN_8" localSheetId="3">'GMIC_2020-Annu_SCDPT4'!$J$309</definedName>
    <definedName name="SCDPT4_93BEGIN_9" localSheetId="3">'GMIC_2020-Annu_SCDPT4'!$K$309</definedName>
    <definedName name="SCDPT4_93ENDIN_10" localSheetId="3">'GMIC_2020-Annu_SCDPT4'!$L$311</definedName>
    <definedName name="SCDPT4_93ENDIN_11" localSheetId="3">'GMIC_2020-Annu_SCDPT4'!$M$311</definedName>
    <definedName name="SCDPT4_93ENDIN_12" localSheetId="3">'GMIC_2020-Annu_SCDPT4'!$N$311</definedName>
    <definedName name="SCDPT4_93ENDIN_13" localSheetId="3">'GMIC_2020-Annu_SCDPT4'!$O$311</definedName>
    <definedName name="SCDPT4_93ENDIN_14" localSheetId="3">'GMIC_2020-Annu_SCDPT4'!$P$311</definedName>
    <definedName name="SCDPT4_93ENDIN_15" localSheetId="3">'GMIC_2020-Annu_SCDPT4'!$Q$311</definedName>
    <definedName name="SCDPT4_93ENDIN_16" localSheetId="3">'GMIC_2020-Annu_SCDPT4'!$R$311</definedName>
    <definedName name="SCDPT4_93ENDIN_17" localSheetId="3">'GMIC_2020-Annu_SCDPT4'!$S$311</definedName>
    <definedName name="SCDPT4_93ENDIN_18" localSheetId="3">'GMIC_2020-Annu_SCDPT4'!$T$311</definedName>
    <definedName name="SCDPT4_93ENDIN_19" localSheetId="3">'GMIC_2020-Annu_SCDPT4'!$U$311</definedName>
    <definedName name="SCDPT4_93ENDIN_2" localSheetId="3">'GMIC_2020-Annu_SCDPT4'!$D$311</definedName>
    <definedName name="SCDPT4_93ENDIN_20" localSheetId="3">'GMIC_2020-Annu_SCDPT4'!$V$311</definedName>
    <definedName name="SCDPT4_93ENDIN_21" localSheetId="3">'GMIC_2020-Annu_SCDPT4'!$W$311</definedName>
    <definedName name="SCDPT4_93ENDIN_22" localSheetId="3">'GMIC_2020-Annu_SCDPT4'!$X$311</definedName>
    <definedName name="SCDPT4_93ENDIN_23" localSheetId="3">'GMIC_2020-Annu_SCDPT4'!$Y$311</definedName>
    <definedName name="SCDPT4_93ENDIN_24" localSheetId="3">'GMIC_2020-Annu_SCDPT4'!$Z$311</definedName>
    <definedName name="SCDPT4_93ENDIN_25" localSheetId="3">'GMIC_2020-Annu_SCDPT4'!$AA$311</definedName>
    <definedName name="SCDPT4_93ENDIN_26" localSheetId="3">'GMIC_2020-Annu_SCDPT4'!$AB$311</definedName>
    <definedName name="SCDPT4_93ENDIN_3" localSheetId="3">'GMIC_2020-Annu_SCDPT4'!$E$311</definedName>
    <definedName name="SCDPT4_93ENDIN_4" localSheetId="3">'GMIC_2020-Annu_SCDPT4'!$F$311</definedName>
    <definedName name="SCDPT4_93ENDIN_5" localSheetId="3">'GMIC_2020-Annu_SCDPT4'!$G$311</definedName>
    <definedName name="SCDPT4_93ENDIN_6" localSheetId="3">'GMIC_2020-Annu_SCDPT4'!$H$311</definedName>
    <definedName name="SCDPT4_93ENDIN_7" localSheetId="3">'GMIC_2020-Annu_SCDPT4'!$I$311</definedName>
    <definedName name="SCDPT4_93ENDIN_8" localSheetId="3">'GMIC_2020-Annu_SCDPT4'!$J$311</definedName>
    <definedName name="SCDPT4_93ENDIN_9" localSheetId="3">'GMIC_2020-Annu_SCDPT4'!$K$311</definedName>
    <definedName name="SCDPT4_9400000_Range" localSheetId="3">'GMIC_2020-Annu_SCDPT4'!$B$313:$AB$315</definedName>
    <definedName name="SCDPT4_9499999_10" localSheetId="3">'GMIC_2020-Annu_SCDPT4'!$L$316</definedName>
    <definedName name="SCDPT4_9499999_11" localSheetId="3">'GMIC_2020-Annu_SCDPT4'!$M$316</definedName>
    <definedName name="SCDPT4_9499999_12" localSheetId="3">'GMIC_2020-Annu_SCDPT4'!$N$316</definedName>
    <definedName name="SCDPT4_9499999_13" localSheetId="3">'GMIC_2020-Annu_SCDPT4'!$O$316</definedName>
    <definedName name="SCDPT4_9499999_14" localSheetId="3">'GMIC_2020-Annu_SCDPT4'!$P$316</definedName>
    <definedName name="SCDPT4_9499999_15" localSheetId="3">'GMIC_2020-Annu_SCDPT4'!$Q$316</definedName>
    <definedName name="SCDPT4_9499999_16" localSheetId="3">'GMIC_2020-Annu_SCDPT4'!$R$316</definedName>
    <definedName name="SCDPT4_9499999_17" localSheetId="3">'GMIC_2020-Annu_SCDPT4'!$S$316</definedName>
    <definedName name="SCDPT4_9499999_18" localSheetId="3">'GMIC_2020-Annu_SCDPT4'!$T$316</definedName>
    <definedName name="SCDPT4_9499999_19" localSheetId="3">'GMIC_2020-Annu_SCDPT4'!$U$316</definedName>
    <definedName name="SCDPT4_9499999_20" localSheetId="3">'GMIC_2020-Annu_SCDPT4'!$V$316</definedName>
    <definedName name="SCDPT4_9499999_7" localSheetId="3">'GMIC_2020-Annu_SCDPT4'!$I$316</definedName>
    <definedName name="SCDPT4_9499999_9" localSheetId="3">'GMIC_2020-Annu_SCDPT4'!$K$316</definedName>
    <definedName name="SCDPT4_94BEGIN_1" localSheetId="3">'GMIC_2020-Annu_SCDPT4'!$C$313</definedName>
    <definedName name="SCDPT4_94BEGIN_10" localSheetId="3">'GMIC_2020-Annu_SCDPT4'!$L$313</definedName>
    <definedName name="SCDPT4_94BEGIN_11" localSheetId="3">'GMIC_2020-Annu_SCDPT4'!$M$313</definedName>
    <definedName name="SCDPT4_94BEGIN_12" localSheetId="3">'GMIC_2020-Annu_SCDPT4'!$N$313</definedName>
    <definedName name="SCDPT4_94BEGIN_13" localSheetId="3">'GMIC_2020-Annu_SCDPT4'!$O$313</definedName>
    <definedName name="SCDPT4_94BEGIN_14" localSheetId="3">'GMIC_2020-Annu_SCDPT4'!$P$313</definedName>
    <definedName name="SCDPT4_94BEGIN_15" localSheetId="3">'GMIC_2020-Annu_SCDPT4'!$Q$313</definedName>
    <definedName name="SCDPT4_94BEGIN_16" localSheetId="3">'GMIC_2020-Annu_SCDPT4'!$R$313</definedName>
    <definedName name="SCDPT4_94BEGIN_17" localSheetId="3">'GMIC_2020-Annu_SCDPT4'!$S$313</definedName>
    <definedName name="SCDPT4_94BEGIN_18" localSheetId="3">'GMIC_2020-Annu_SCDPT4'!$T$313</definedName>
    <definedName name="SCDPT4_94BEGIN_19" localSheetId="3">'GMIC_2020-Annu_SCDPT4'!$U$313</definedName>
    <definedName name="SCDPT4_94BEGIN_2" localSheetId="3">'GMIC_2020-Annu_SCDPT4'!$D$313</definedName>
    <definedName name="SCDPT4_94BEGIN_20" localSheetId="3">'GMIC_2020-Annu_SCDPT4'!$V$313</definedName>
    <definedName name="SCDPT4_94BEGIN_21" localSheetId="3">'GMIC_2020-Annu_SCDPT4'!$W$313</definedName>
    <definedName name="SCDPT4_94BEGIN_22" localSheetId="3">'GMIC_2020-Annu_SCDPT4'!$X$313</definedName>
    <definedName name="SCDPT4_94BEGIN_23" localSheetId="3">'GMIC_2020-Annu_SCDPT4'!$Y$313</definedName>
    <definedName name="SCDPT4_94BEGIN_24" localSheetId="3">'GMIC_2020-Annu_SCDPT4'!$Z$313</definedName>
    <definedName name="SCDPT4_94BEGIN_25" localSheetId="3">'GMIC_2020-Annu_SCDPT4'!$AA$313</definedName>
    <definedName name="SCDPT4_94BEGIN_26" localSheetId="3">'GMIC_2020-Annu_SCDPT4'!$AB$313</definedName>
    <definedName name="SCDPT4_94BEGIN_3" localSheetId="3">'GMIC_2020-Annu_SCDPT4'!$E$313</definedName>
    <definedName name="SCDPT4_94BEGIN_4" localSheetId="3">'GMIC_2020-Annu_SCDPT4'!$F$313</definedName>
    <definedName name="SCDPT4_94BEGIN_5" localSheetId="3">'GMIC_2020-Annu_SCDPT4'!$G$313</definedName>
    <definedName name="SCDPT4_94BEGIN_6" localSheetId="3">'GMIC_2020-Annu_SCDPT4'!$H$313</definedName>
    <definedName name="SCDPT4_94BEGIN_7" localSheetId="3">'GMIC_2020-Annu_SCDPT4'!$I$313</definedName>
    <definedName name="SCDPT4_94BEGIN_8" localSheetId="3">'GMIC_2020-Annu_SCDPT4'!$J$313</definedName>
    <definedName name="SCDPT4_94BEGIN_9" localSheetId="3">'GMIC_2020-Annu_SCDPT4'!$K$313</definedName>
    <definedName name="SCDPT4_94ENDIN_10" localSheetId="3">'GMIC_2020-Annu_SCDPT4'!$L$315</definedName>
    <definedName name="SCDPT4_94ENDIN_11" localSheetId="3">'GMIC_2020-Annu_SCDPT4'!$M$315</definedName>
    <definedName name="SCDPT4_94ENDIN_12" localSheetId="3">'GMIC_2020-Annu_SCDPT4'!$N$315</definedName>
    <definedName name="SCDPT4_94ENDIN_13" localSheetId="3">'GMIC_2020-Annu_SCDPT4'!$O$315</definedName>
    <definedName name="SCDPT4_94ENDIN_14" localSheetId="3">'GMIC_2020-Annu_SCDPT4'!$P$315</definedName>
    <definedName name="SCDPT4_94ENDIN_15" localSheetId="3">'GMIC_2020-Annu_SCDPT4'!$Q$315</definedName>
    <definedName name="SCDPT4_94ENDIN_16" localSheetId="3">'GMIC_2020-Annu_SCDPT4'!$R$315</definedName>
    <definedName name="SCDPT4_94ENDIN_17" localSheetId="3">'GMIC_2020-Annu_SCDPT4'!$S$315</definedName>
    <definedName name="SCDPT4_94ENDIN_18" localSheetId="3">'GMIC_2020-Annu_SCDPT4'!$T$315</definedName>
    <definedName name="SCDPT4_94ENDIN_19" localSheetId="3">'GMIC_2020-Annu_SCDPT4'!$U$315</definedName>
    <definedName name="SCDPT4_94ENDIN_2" localSheetId="3">'GMIC_2020-Annu_SCDPT4'!$D$315</definedName>
    <definedName name="SCDPT4_94ENDIN_20" localSheetId="3">'GMIC_2020-Annu_SCDPT4'!$V$315</definedName>
    <definedName name="SCDPT4_94ENDIN_21" localSheetId="3">'GMIC_2020-Annu_SCDPT4'!$W$315</definedName>
    <definedName name="SCDPT4_94ENDIN_22" localSheetId="3">'GMIC_2020-Annu_SCDPT4'!$X$315</definedName>
    <definedName name="SCDPT4_94ENDIN_23" localSheetId="3">'GMIC_2020-Annu_SCDPT4'!$Y$315</definedName>
    <definedName name="SCDPT4_94ENDIN_24" localSheetId="3">'GMIC_2020-Annu_SCDPT4'!$Z$315</definedName>
    <definedName name="SCDPT4_94ENDIN_25" localSheetId="3">'GMIC_2020-Annu_SCDPT4'!$AA$315</definedName>
    <definedName name="SCDPT4_94ENDIN_26" localSheetId="3">'GMIC_2020-Annu_SCDPT4'!$AB$315</definedName>
    <definedName name="SCDPT4_94ENDIN_3" localSheetId="3">'GMIC_2020-Annu_SCDPT4'!$E$315</definedName>
    <definedName name="SCDPT4_94ENDIN_4" localSheetId="3">'GMIC_2020-Annu_SCDPT4'!$F$315</definedName>
    <definedName name="SCDPT4_94ENDIN_5" localSheetId="3">'GMIC_2020-Annu_SCDPT4'!$G$315</definedName>
    <definedName name="SCDPT4_94ENDIN_6" localSheetId="3">'GMIC_2020-Annu_SCDPT4'!$H$315</definedName>
    <definedName name="SCDPT4_94ENDIN_7" localSheetId="3">'GMIC_2020-Annu_SCDPT4'!$I$315</definedName>
    <definedName name="SCDPT4_94ENDIN_8" localSheetId="3">'GMIC_2020-Annu_SCDPT4'!$J$315</definedName>
    <definedName name="SCDPT4_94ENDIN_9" localSheetId="3">'GMIC_2020-Annu_SCDPT4'!$K$315</definedName>
    <definedName name="SCDPT4_9500000_Range" localSheetId="3">'GMIC_2020-Annu_SCDPT4'!$B$317:$AB$319</definedName>
    <definedName name="SCDPT4_9599999_10" localSheetId="3">'GMIC_2020-Annu_SCDPT4'!$L$320</definedName>
    <definedName name="SCDPT4_9599999_11" localSheetId="3">'GMIC_2020-Annu_SCDPT4'!$M$320</definedName>
    <definedName name="SCDPT4_9599999_12" localSheetId="3">'GMIC_2020-Annu_SCDPT4'!$N$320</definedName>
    <definedName name="SCDPT4_9599999_13" localSheetId="3">'GMIC_2020-Annu_SCDPT4'!$O$320</definedName>
    <definedName name="SCDPT4_9599999_14" localSheetId="3">'GMIC_2020-Annu_SCDPT4'!$P$320</definedName>
    <definedName name="SCDPT4_9599999_15" localSheetId="3">'GMIC_2020-Annu_SCDPT4'!$Q$320</definedName>
    <definedName name="SCDPT4_9599999_16" localSheetId="3">'GMIC_2020-Annu_SCDPT4'!$R$320</definedName>
    <definedName name="SCDPT4_9599999_17" localSheetId="3">'GMIC_2020-Annu_SCDPT4'!$S$320</definedName>
    <definedName name="SCDPT4_9599999_18" localSheetId="3">'GMIC_2020-Annu_SCDPT4'!$T$320</definedName>
    <definedName name="SCDPT4_9599999_19" localSheetId="3">'GMIC_2020-Annu_SCDPT4'!$U$320</definedName>
    <definedName name="SCDPT4_9599999_20" localSheetId="3">'GMIC_2020-Annu_SCDPT4'!$V$320</definedName>
    <definedName name="SCDPT4_9599999_7" localSheetId="3">'GMIC_2020-Annu_SCDPT4'!$I$320</definedName>
    <definedName name="SCDPT4_9599999_9" localSheetId="3">'GMIC_2020-Annu_SCDPT4'!$K$320</definedName>
    <definedName name="SCDPT4_95BEGIN_1" localSheetId="3">'GMIC_2020-Annu_SCDPT4'!$C$317</definedName>
    <definedName name="SCDPT4_95BEGIN_10" localSheetId="3">'GMIC_2020-Annu_SCDPT4'!$L$317</definedName>
    <definedName name="SCDPT4_95BEGIN_11" localSheetId="3">'GMIC_2020-Annu_SCDPT4'!$M$317</definedName>
    <definedName name="SCDPT4_95BEGIN_12" localSheetId="3">'GMIC_2020-Annu_SCDPT4'!$N$317</definedName>
    <definedName name="SCDPT4_95BEGIN_13" localSheetId="3">'GMIC_2020-Annu_SCDPT4'!$O$317</definedName>
    <definedName name="SCDPT4_95BEGIN_14" localSheetId="3">'GMIC_2020-Annu_SCDPT4'!$P$317</definedName>
    <definedName name="SCDPT4_95BEGIN_15" localSheetId="3">'GMIC_2020-Annu_SCDPT4'!$Q$317</definedName>
    <definedName name="SCDPT4_95BEGIN_16" localSheetId="3">'GMIC_2020-Annu_SCDPT4'!$R$317</definedName>
    <definedName name="SCDPT4_95BEGIN_17" localSheetId="3">'GMIC_2020-Annu_SCDPT4'!$S$317</definedName>
    <definedName name="SCDPT4_95BEGIN_18" localSheetId="3">'GMIC_2020-Annu_SCDPT4'!$T$317</definedName>
    <definedName name="SCDPT4_95BEGIN_19" localSheetId="3">'GMIC_2020-Annu_SCDPT4'!$U$317</definedName>
    <definedName name="SCDPT4_95BEGIN_2" localSheetId="3">'GMIC_2020-Annu_SCDPT4'!$D$317</definedName>
    <definedName name="SCDPT4_95BEGIN_20" localSheetId="3">'GMIC_2020-Annu_SCDPT4'!$V$317</definedName>
    <definedName name="SCDPT4_95BEGIN_21" localSheetId="3">'GMIC_2020-Annu_SCDPT4'!$W$317</definedName>
    <definedName name="SCDPT4_95BEGIN_22" localSheetId="3">'GMIC_2020-Annu_SCDPT4'!$X$317</definedName>
    <definedName name="SCDPT4_95BEGIN_23" localSheetId="3">'GMIC_2020-Annu_SCDPT4'!$Y$317</definedName>
    <definedName name="SCDPT4_95BEGIN_24" localSheetId="3">'GMIC_2020-Annu_SCDPT4'!$Z$317</definedName>
    <definedName name="SCDPT4_95BEGIN_25" localSheetId="3">'GMIC_2020-Annu_SCDPT4'!$AA$317</definedName>
    <definedName name="SCDPT4_95BEGIN_26" localSheetId="3">'GMIC_2020-Annu_SCDPT4'!$AB$317</definedName>
    <definedName name="SCDPT4_95BEGIN_3" localSheetId="3">'GMIC_2020-Annu_SCDPT4'!$E$317</definedName>
    <definedName name="SCDPT4_95BEGIN_4" localSheetId="3">'GMIC_2020-Annu_SCDPT4'!$F$317</definedName>
    <definedName name="SCDPT4_95BEGIN_5" localSheetId="3">'GMIC_2020-Annu_SCDPT4'!$G$317</definedName>
    <definedName name="SCDPT4_95BEGIN_6" localSheetId="3">'GMIC_2020-Annu_SCDPT4'!$H$317</definedName>
    <definedName name="SCDPT4_95BEGIN_7" localSheetId="3">'GMIC_2020-Annu_SCDPT4'!$I$317</definedName>
    <definedName name="SCDPT4_95BEGIN_8" localSheetId="3">'GMIC_2020-Annu_SCDPT4'!$J$317</definedName>
    <definedName name="SCDPT4_95BEGIN_9" localSheetId="3">'GMIC_2020-Annu_SCDPT4'!$K$317</definedName>
    <definedName name="SCDPT4_95ENDIN_10" localSheetId="3">'GMIC_2020-Annu_SCDPT4'!$L$319</definedName>
    <definedName name="SCDPT4_95ENDIN_11" localSheetId="3">'GMIC_2020-Annu_SCDPT4'!$M$319</definedName>
    <definedName name="SCDPT4_95ENDIN_12" localSheetId="3">'GMIC_2020-Annu_SCDPT4'!$N$319</definedName>
    <definedName name="SCDPT4_95ENDIN_13" localSheetId="3">'GMIC_2020-Annu_SCDPT4'!$O$319</definedName>
    <definedName name="SCDPT4_95ENDIN_14" localSheetId="3">'GMIC_2020-Annu_SCDPT4'!$P$319</definedName>
    <definedName name="SCDPT4_95ENDIN_15" localSheetId="3">'GMIC_2020-Annu_SCDPT4'!$Q$319</definedName>
    <definedName name="SCDPT4_95ENDIN_16" localSheetId="3">'GMIC_2020-Annu_SCDPT4'!$R$319</definedName>
    <definedName name="SCDPT4_95ENDIN_17" localSheetId="3">'GMIC_2020-Annu_SCDPT4'!$S$319</definedName>
    <definedName name="SCDPT4_95ENDIN_18" localSheetId="3">'GMIC_2020-Annu_SCDPT4'!$T$319</definedName>
    <definedName name="SCDPT4_95ENDIN_19" localSheetId="3">'GMIC_2020-Annu_SCDPT4'!$U$319</definedName>
    <definedName name="SCDPT4_95ENDIN_2" localSheetId="3">'GMIC_2020-Annu_SCDPT4'!$D$319</definedName>
    <definedName name="SCDPT4_95ENDIN_20" localSheetId="3">'GMIC_2020-Annu_SCDPT4'!$V$319</definedName>
    <definedName name="SCDPT4_95ENDIN_21" localSheetId="3">'GMIC_2020-Annu_SCDPT4'!$W$319</definedName>
    <definedName name="SCDPT4_95ENDIN_22" localSheetId="3">'GMIC_2020-Annu_SCDPT4'!$X$319</definedName>
    <definedName name="SCDPT4_95ENDIN_23" localSheetId="3">'GMIC_2020-Annu_SCDPT4'!$Y$319</definedName>
    <definedName name="SCDPT4_95ENDIN_24" localSheetId="3">'GMIC_2020-Annu_SCDPT4'!$Z$319</definedName>
    <definedName name="SCDPT4_95ENDIN_25" localSheetId="3">'GMIC_2020-Annu_SCDPT4'!$AA$319</definedName>
    <definedName name="SCDPT4_95ENDIN_26" localSheetId="3">'GMIC_2020-Annu_SCDPT4'!$AB$319</definedName>
    <definedName name="SCDPT4_95ENDIN_3" localSheetId="3">'GMIC_2020-Annu_SCDPT4'!$E$319</definedName>
    <definedName name="SCDPT4_95ENDIN_4" localSheetId="3">'GMIC_2020-Annu_SCDPT4'!$F$319</definedName>
    <definedName name="SCDPT4_95ENDIN_5" localSheetId="3">'GMIC_2020-Annu_SCDPT4'!$G$319</definedName>
    <definedName name="SCDPT4_95ENDIN_6" localSheetId="3">'GMIC_2020-Annu_SCDPT4'!$H$319</definedName>
    <definedName name="SCDPT4_95ENDIN_7" localSheetId="3">'GMIC_2020-Annu_SCDPT4'!$I$319</definedName>
    <definedName name="SCDPT4_95ENDIN_8" localSheetId="3">'GMIC_2020-Annu_SCDPT4'!$J$319</definedName>
    <definedName name="SCDPT4_95ENDIN_9" localSheetId="3">'GMIC_2020-Annu_SCDPT4'!$K$319</definedName>
    <definedName name="SCDPT4_9600000_Range" localSheetId="3">'GMIC_2020-Annu_SCDPT4'!$B$321:$AB$323</definedName>
    <definedName name="SCDPT4_9699999_10" localSheetId="3">'GMIC_2020-Annu_SCDPT4'!$L$324</definedName>
    <definedName name="SCDPT4_9699999_11" localSheetId="3">'GMIC_2020-Annu_SCDPT4'!$M$324</definedName>
    <definedName name="SCDPT4_9699999_12" localSheetId="3">'GMIC_2020-Annu_SCDPT4'!$N$324</definedName>
    <definedName name="SCDPT4_9699999_13" localSheetId="3">'GMIC_2020-Annu_SCDPT4'!$O$324</definedName>
    <definedName name="SCDPT4_9699999_14" localSheetId="3">'GMIC_2020-Annu_SCDPT4'!$P$324</definedName>
    <definedName name="SCDPT4_9699999_15" localSheetId="3">'GMIC_2020-Annu_SCDPT4'!$Q$324</definedName>
    <definedName name="SCDPT4_9699999_16" localSheetId="3">'GMIC_2020-Annu_SCDPT4'!$R$324</definedName>
    <definedName name="SCDPT4_9699999_17" localSheetId="3">'GMIC_2020-Annu_SCDPT4'!$S$324</definedName>
    <definedName name="SCDPT4_9699999_18" localSheetId="3">'GMIC_2020-Annu_SCDPT4'!$T$324</definedName>
    <definedName name="SCDPT4_9699999_19" localSheetId="3">'GMIC_2020-Annu_SCDPT4'!$U$324</definedName>
    <definedName name="SCDPT4_9699999_20" localSheetId="3">'GMIC_2020-Annu_SCDPT4'!$V$324</definedName>
    <definedName name="SCDPT4_9699999_7" localSheetId="3">'GMIC_2020-Annu_SCDPT4'!$I$324</definedName>
    <definedName name="SCDPT4_9699999_9" localSheetId="3">'GMIC_2020-Annu_SCDPT4'!$K$324</definedName>
    <definedName name="SCDPT4_96BEGIN_1" localSheetId="3">'GMIC_2020-Annu_SCDPT4'!$C$321</definedName>
    <definedName name="SCDPT4_96BEGIN_10" localSheetId="3">'GMIC_2020-Annu_SCDPT4'!$L$321</definedName>
    <definedName name="SCDPT4_96BEGIN_11" localSheetId="3">'GMIC_2020-Annu_SCDPT4'!$M$321</definedName>
    <definedName name="SCDPT4_96BEGIN_12" localSheetId="3">'GMIC_2020-Annu_SCDPT4'!$N$321</definedName>
    <definedName name="SCDPT4_96BEGIN_13" localSheetId="3">'GMIC_2020-Annu_SCDPT4'!$O$321</definedName>
    <definedName name="SCDPT4_96BEGIN_14" localSheetId="3">'GMIC_2020-Annu_SCDPT4'!$P$321</definedName>
    <definedName name="SCDPT4_96BEGIN_15" localSheetId="3">'GMIC_2020-Annu_SCDPT4'!$Q$321</definedName>
    <definedName name="SCDPT4_96BEGIN_16" localSheetId="3">'GMIC_2020-Annu_SCDPT4'!$R$321</definedName>
    <definedName name="SCDPT4_96BEGIN_17" localSheetId="3">'GMIC_2020-Annu_SCDPT4'!$S$321</definedName>
    <definedName name="SCDPT4_96BEGIN_18" localSheetId="3">'GMIC_2020-Annu_SCDPT4'!$T$321</definedName>
    <definedName name="SCDPT4_96BEGIN_19" localSheetId="3">'GMIC_2020-Annu_SCDPT4'!$U$321</definedName>
    <definedName name="SCDPT4_96BEGIN_2" localSheetId="3">'GMIC_2020-Annu_SCDPT4'!$D$321</definedName>
    <definedName name="SCDPT4_96BEGIN_20" localSheetId="3">'GMIC_2020-Annu_SCDPT4'!$V$321</definedName>
    <definedName name="SCDPT4_96BEGIN_21" localSheetId="3">'GMIC_2020-Annu_SCDPT4'!$W$321</definedName>
    <definedName name="SCDPT4_96BEGIN_22" localSheetId="3">'GMIC_2020-Annu_SCDPT4'!$X$321</definedName>
    <definedName name="SCDPT4_96BEGIN_23" localSheetId="3">'GMIC_2020-Annu_SCDPT4'!$Y$321</definedName>
    <definedName name="SCDPT4_96BEGIN_24" localSheetId="3">'GMIC_2020-Annu_SCDPT4'!$Z$321</definedName>
    <definedName name="SCDPT4_96BEGIN_25" localSheetId="3">'GMIC_2020-Annu_SCDPT4'!$AA$321</definedName>
    <definedName name="SCDPT4_96BEGIN_26" localSheetId="3">'GMIC_2020-Annu_SCDPT4'!$AB$321</definedName>
    <definedName name="SCDPT4_96BEGIN_3" localSheetId="3">'GMIC_2020-Annu_SCDPT4'!$E$321</definedName>
    <definedName name="SCDPT4_96BEGIN_4" localSheetId="3">'GMIC_2020-Annu_SCDPT4'!$F$321</definedName>
    <definedName name="SCDPT4_96BEGIN_5" localSheetId="3">'GMIC_2020-Annu_SCDPT4'!$G$321</definedName>
    <definedName name="SCDPT4_96BEGIN_6" localSheetId="3">'GMIC_2020-Annu_SCDPT4'!$H$321</definedName>
    <definedName name="SCDPT4_96BEGIN_7" localSheetId="3">'GMIC_2020-Annu_SCDPT4'!$I$321</definedName>
    <definedName name="SCDPT4_96BEGIN_8" localSheetId="3">'GMIC_2020-Annu_SCDPT4'!$J$321</definedName>
    <definedName name="SCDPT4_96BEGIN_9" localSheetId="3">'GMIC_2020-Annu_SCDPT4'!$K$321</definedName>
    <definedName name="SCDPT4_96ENDIN_10" localSheetId="3">'GMIC_2020-Annu_SCDPT4'!$L$323</definedName>
    <definedName name="SCDPT4_96ENDIN_11" localSheetId="3">'GMIC_2020-Annu_SCDPT4'!$M$323</definedName>
    <definedName name="SCDPT4_96ENDIN_12" localSheetId="3">'GMIC_2020-Annu_SCDPT4'!$N$323</definedName>
    <definedName name="SCDPT4_96ENDIN_13" localSheetId="3">'GMIC_2020-Annu_SCDPT4'!$O$323</definedName>
    <definedName name="SCDPT4_96ENDIN_14" localSheetId="3">'GMIC_2020-Annu_SCDPT4'!$P$323</definedName>
    <definedName name="SCDPT4_96ENDIN_15" localSheetId="3">'GMIC_2020-Annu_SCDPT4'!$Q$323</definedName>
    <definedName name="SCDPT4_96ENDIN_16" localSheetId="3">'GMIC_2020-Annu_SCDPT4'!$R$323</definedName>
    <definedName name="SCDPT4_96ENDIN_17" localSheetId="3">'GMIC_2020-Annu_SCDPT4'!$S$323</definedName>
    <definedName name="SCDPT4_96ENDIN_18" localSheetId="3">'GMIC_2020-Annu_SCDPT4'!$T$323</definedName>
    <definedName name="SCDPT4_96ENDIN_19" localSheetId="3">'GMIC_2020-Annu_SCDPT4'!$U$323</definedName>
    <definedName name="SCDPT4_96ENDIN_2" localSheetId="3">'GMIC_2020-Annu_SCDPT4'!$D$323</definedName>
    <definedName name="SCDPT4_96ENDIN_20" localSheetId="3">'GMIC_2020-Annu_SCDPT4'!$V$323</definedName>
    <definedName name="SCDPT4_96ENDIN_21" localSheetId="3">'GMIC_2020-Annu_SCDPT4'!$W$323</definedName>
    <definedName name="SCDPT4_96ENDIN_22" localSheetId="3">'GMIC_2020-Annu_SCDPT4'!$X$323</definedName>
    <definedName name="SCDPT4_96ENDIN_23" localSheetId="3">'GMIC_2020-Annu_SCDPT4'!$Y$323</definedName>
    <definedName name="SCDPT4_96ENDIN_24" localSheetId="3">'GMIC_2020-Annu_SCDPT4'!$Z$323</definedName>
    <definedName name="SCDPT4_96ENDIN_25" localSheetId="3">'GMIC_2020-Annu_SCDPT4'!$AA$323</definedName>
    <definedName name="SCDPT4_96ENDIN_26" localSheetId="3">'GMIC_2020-Annu_SCDPT4'!$AB$323</definedName>
    <definedName name="SCDPT4_96ENDIN_3" localSheetId="3">'GMIC_2020-Annu_SCDPT4'!$E$323</definedName>
    <definedName name="SCDPT4_96ENDIN_4" localSheetId="3">'GMIC_2020-Annu_SCDPT4'!$F$323</definedName>
    <definedName name="SCDPT4_96ENDIN_5" localSheetId="3">'GMIC_2020-Annu_SCDPT4'!$G$323</definedName>
    <definedName name="SCDPT4_96ENDIN_6" localSheetId="3">'GMIC_2020-Annu_SCDPT4'!$H$323</definedName>
    <definedName name="SCDPT4_96ENDIN_7" localSheetId="3">'GMIC_2020-Annu_SCDPT4'!$I$323</definedName>
    <definedName name="SCDPT4_96ENDIN_8" localSheetId="3">'GMIC_2020-Annu_SCDPT4'!$J$323</definedName>
    <definedName name="SCDPT4_96ENDIN_9" localSheetId="3">'GMIC_2020-Annu_SCDPT4'!$K$323</definedName>
    <definedName name="SCDPT4_9799997_10" localSheetId="3">'GMIC_2020-Annu_SCDPT4'!$L$325</definedName>
    <definedName name="SCDPT4_9799997_11" localSheetId="3">'GMIC_2020-Annu_SCDPT4'!$M$325</definedName>
    <definedName name="SCDPT4_9799997_12" localSheetId="3">'GMIC_2020-Annu_SCDPT4'!$N$325</definedName>
    <definedName name="SCDPT4_9799997_13" localSheetId="3">'GMIC_2020-Annu_SCDPT4'!$O$325</definedName>
    <definedName name="SCDPT4_9799997_14" localSheetId="3">'GMIC_2020-Annu_SCDPT4'!$P$325</definedName>
    <definedName name="SCDPT4_9799997_15" localSheetId="3">'GMIC_2020-Annu_SCDPT4'!$Q$325</definedName>
    <definedName name="SCDPT4_9799997_16" localSheetId="3">'GMIC_2020-Annu_SCDPT4'!$R$325</definedName>
    <definedName name="SCDPT4_9799997_17" localSheetId="3">'GMIC_2020-Annu_SCDPT4'!$S$325</definedName>
    <definedName name="SCDPT4_9799997_18" localSheetId="3">'GMIC_2020-Annu_SCDPT4'!$T$325</definedName>
    <definedName name="SCDPT4_9799997_19" localSheetId="3">'GMIC_2020-Annu_SCDPT4'!$U$325</definedName>
    <definedName name="SCDPT4_9799997_20" localSheetId="3">'GMIC_2020-Annu_SCDPT4'!$V$325</definedName>
    <definedName name="SCDPT4_9799997_7" localSheetId="3">'GMIC_2020-Annu_SCDPT4'!$I$325</definedName>
    <definedName name="SCDPT4_9799997_9" localSheetId="3">'GMIC_2020-Annu_SCDPT4'!$K$325</definedName>
    <definedName name="SCDPT4_9799998_10" localSheetId="3">'GMIC_2020-Annu_SCDPT4'!$L$326</definedName>
    <definedName name="SCDPT4_9799998_11" localSheetId="3">'GMIC_2020-Annu_SCDPT4'!$M$326</definedName>
    <definedName name="SCDPT4_9799998_12" localSheetId="3">'GMIC_2020-Annu_SCDPT4'!$N$326</definedName>
    <definedName name="SCDPT4_9799998_13" localSheetId="3">'GMIC_2020-Annu_SCDPT4'!$O$326</definedName>
    <definedName name="SCDPT4_9799998_14" localSheetId="3">'GMIC_2020-Annu_SCDPT4'!$P$326</definedName>
    <definedName name="SCDPT4_9799998_15" localSheetId="3">'GMIC_2020-Annu_SCDPT4'!$Q$326</definedName>
    <definedName name="SCDPT4_9799998_16" localSheetId="3">'GMIC_2020-Annu_SCDPT4'!$R$326</definedName>
    <definedName name="SCDPT4_9799998_17" localSheetId="3">'GMIC_2020-Annu_SCDPT4'!$S$326</definedName>
    <definedName name="SCDPT4_9799998_18" localSheetId="3">'GMIC_2020-Annu_SCDPT4'!$T$326</definedName>
    <definedName name="SCDPT4_9799998_19" localSheetId="3">'GMIC_2020-Annu_SCDPT4'!$U$326</definedName>
    <definedName name="SCDPT4_9799998_20" localSheetId="3">'GMIC_2020-Annu_SCDPT4'!$V$326</definedName>
    <definedName name="SCDPT4_9799998_7" localSheetId="3">'GMIC_2020-Annu_SCDPT4'!$I$326</definedName>
    <definedName name="SCDPT4_9799998_9" localSheetId="3">'GMIC_2020-Annu_SCDPT4'!$K$326</definedName>
    <definedName name="SCDPT4_9799999_10" localSheetId="3">'GMIC_2020-Annu_SCDPT4'!$L$327</definedName>
    <definedName name="SCDPT4_9799999_11" localSheetId="3">'GMIC_2020-Annu_SCDPT4'!$M$327</definedName>
    <definedName name="SCDPT4_9799999_12" localSheetId="3">'GMIC_2020-Annu_SCDPT4'!$N$327</definedName>
    <definedName name="SCDPT4_9799999_13" localSheetId="3">'GMIC_2020-Annu_SCDPT4'!$O$327</definedName>
    <definedName name="SCDPT4_9799999_14" localSheetId="3">'GMIC_2020-Annu_SCDPT4'!$P$327</definedName>
    <definedName name="SCDPT4_9799999_15" localSheetId="3">'GMIC_2020-Annu_SCDPT4'!$Q$327</definedName>
    <definedName name="SCDPT4_9799999_16" localSheetId="3">'GMIC_2020-Annu_SCDPT4'!$R$327</definedName>
    <definedName name="SCDPT4_9799999_17" localSheetId="3">'GMIC_2020-Annu_SCDPT4'!$S$327</definedName>
    <definedName name="SCDPT4_9799999_18" localSheetId="3">'GMIC_2020-Annu_SCDPT4'!$T$327</definedName>
    <definedName name="SCDPT4_9799999_19" localSheetId="3">'GMIC_2020-Annu_SCDPT4'!$U$327</definedName>
    <definedName name="SCDPT4_9799999_20" localSheetId="3">'GMIC_2020-Annu_SCDPT4'!$V$327</definedName>
    <definedName name="SCDPT4_9799999_7" localSheetId="3">'GMIC_2020-Annu_SCDPT4'!$I$327</definedName>
    <definedName name="SCDPT4_9799999_9" localSheetId="3">'GMIC_2020-Annu_SCDPT4'!$K$327</definedName>
    <definedName name="SCDPT4_9899999_10" localSheetId="3">'GMIC_2020-Annu_SCDPT4'!$L$328</definedName>
    <definedName name="SCDPT4_9899999_11" localSheetId="3">'GMIC_2020-Annu_SCDPT4'!$M$328</definedName>
    <definedName name="SCDPT4_9899999_12" localSheetId="3">'GMIC_2020-Annu_SCDPT4'!$N$328</definedName>
    <definedName name="SCDPT4_9899999_13" localSheetId="3">'GMIC_2020-Annu_SCDPT4'!$O$328</definedName>
    <definedName name="SCDPT4_9899999_14" localSheetId="3">'GMIC_2020-Annu_SCDPT4'!$P$328</definedName>
    <definedName name="SCDPT4_9899999_15" localSheetId="3">'GMIC_2020-Annu_SCDPT4'!$Q$328</definedName>
    <definedName name="SCDPT4_9899999_16" localSheetId="3">'GMIC_2020-Annu_SCDPT4'!$R$328</definedName>
    <definedName name="SCDPT4_9899999_17" localSheetId="3">'GMIC_2020-Annu_SCDPT4'!$S$328</definedName>
    <definedName name="SCDPT4_9899999_18" localSheetId="3">'GMIC_2020-Annu_SCDPT4'!$T$328</definedName>
    <definedName name="SCDPT4_9899999_19" localSheetId="3">'GMIC_2020-Annu_SCDPT4'!$U$328</definedName>
    <definedName name="SCDPT4_9899999_20" localSheetId="3">'GMIC_2020-Annu_SCDPT4'!$V$328</definedName>
    <definedName name="SCDPT4_9899999_7" localSheetId="3">'GMIC_2020-Annu_SCDPT4'!$I$328</definedName>
    <definedName name="SCDPT4_9899999_9" localSheetId="3">'GMIC_2020-Annu_SCDPT4'!$K$328</definedName>
    <definedName name="SCDPT4_9999999_10" localSheetId="3">'GMIC_2020-Annu_SCDPT4'!$L$329</definedName>
    <definedName name="SCDPT4_9999999_11" localSheetId="3">'GMIC_2020-Annu_SCDPT4'!$M$329</definedName>
    <definedName name="SCDPT4_9999999_12" localSheetId="3">'GMIC_2020-Annu_SCDPT4'!$N$329</definedName>
    <definedName name="SCDPT4_9999999_13" localSheetId="3">'GMIC_2020-Annu_SCDPT4'!$O$329</definedName>
    <definedName name="SCDPT4_9999999_14" localSheetId="3">'GMIC_2020-Annu_SCDPT4'!$P$329</definedName>
    <definedName name="SCDPT4_9999999_15" localSheetId="3">'GMIC_2020-Annu_SCDPT4'!$Q$329</definedName>
    <definedName name="SCDPT4_9999999_16" localSheetId="3">'GMIC_2020-Annu_SCDPT4'!$R$329</definedName>
    <definedName name="SCDPT4_9999999_17" localSheetId="3">'GMIC_2020-Annu_SCDPT4'!$S$329</definedName>
    <definedName name="SCDPT4_9999999_18" localSheetId="3">'GMIC_2020-Annu_SCDPT4'!$T$329</definedName>
    <definedName name="SCDPT4_9999999_19" localSheetId="3">'GMIC_2020-Annu_SCDPT4'!$U$329</definedName>
    <definedName name="SCDPT4_9999999_20" localSheetId="3">'GMIC_2020-Annu_SCDPT4'!$V$329</definedName>
    <definedName name="SCDPT4_9999999_7" localSheetId="3">'GMIC_2020-Annu_SCDPT4'!$I$329</definedName>
    <definedName name="SCDPT4_9999999_9" localSheetId="3">'GMIC_2020-Annu_SCDPT4'!$K$329</definedName>
    <definedName name="SCDPT5_0500000_Range" localSheetId="4">'GMIC_2020-Annu_SCDPT5'!$B$7:$AB$9</definedName>
    <definedName name="SCDPT5_0599999_10" localSheetId="4">'GMIC_2020-Annu_SCDPT5'!$L$10</definedName>
    <definedName name="SCDPT5_0599999_11" localSheetId="4">'GMIC_2020-Annu_SCDPT5'!$M$10</definedName>
    <definedName name="SCDPT5_0599999_12" localSheetId="4">'GMIC_2020-Annu_SCDPT5'!$N$10</definedName>
    <definedName name="SCDPT5_0599999_13" localSheetId="4">'GMIC_2020-Annu_SCDPT5'!$O$10</definedName>
    <definedName name="SCDPT5_0599999_14" localSheetId="4">'GMIC_2020-Annu_SCDPT5'!$P$10</definedName>
    <definedName name="SCDPT5_0599999_15" localSheetId="4">'GMIC_2020-Annu_SCDPT5'!$Q$10</definedName>
    <definedName name="SCDPT5_0599999_16" localSheetId="4">'GMIC_2020-Annu_SCDPT5'!$R$10</definedName>
    <definedName name="SCDPT5_0599999_17" localSheetId="4">'GMIC_2020-Annu_SCDPT5'!$S$10</definedName>
    <definedName name="SCDPT5_0599999_18" localSheetId="4">'GMIC_2020-Annu_SCDPT5'!$T$10</definedName>
    <definedName name="SCDPT5_0599999_19" localSheetId="4">'GMIC_2020-Annu_SCDPT5'!$U$10</definedName>
    <definedName name="SCDPT5_0599999_20" localSheetId="4">'GMIC_2020-Annu_SCDPT5'!$V$10</definedName>
    <definedName name="SCDPT5_0599999_21" localSheetId="4">'GMIC_2020-Annu_SCDPT5'!$W$10</definedName>
    <definedName name="SCDPT5_0599999_8" localSheetId="4">'GMIC_2020-Annu_SCDPT5'!$J$10</definedName>
    <definedName name="SCDPT5_0599999_9" localSheetId="4">'GMIC_2020-Annu_SCDPT5'!$K$10</definedName>
    <definedName name="SCDPT5_05BEGIN_1" localSheetId="4">'GMIC_2020-Annu_SCDPT5'!$C$7</definedName>
    <definedName name="SCDPT5_05BEGIN_10" localSheetId="4">'GMIC_2020-Annu_SCDPT5'!$L$7</definedName>
    <definedName name="SCDPT5_05BEGIN_11" localSheetId="4">'GMIC_2020-Annu_SCDPT5'!$M$7</definedName>
    <definedName name="SCDPT5_05BEGIN_12" localSheetId="4">'GMIC_2020-Annu_SCDPT5'!$N$7</definedName>
    <definedName name="SCDPT5_05BEGIN_13" localSheetId="4">'GMIC_2020-Annu_SCDPT5'!$O$7</definedName>
    <definedName name="SCDPT5_05BEGIN_14" localSheetId="4">'GMIC_2020-Annu_SCDPT5'!$P$7</definedName>
    <definedName name="SCDPT5_05BEGIN_15" localSheetId="4">'GMIC_2020-Annu_SCDPT5'!$Q$7</definedName>
    <definedName name="SCDPT5_05BEGIN_16" localSheetId="4">'GMIC_2020-Annu_SCDPT5'!$R$7</definedName>
    <definedName name="SCDPT5_05BEGIN_17" localSheetId="4">'GMIC_2020-Annu_SCDPT5'!$S$7</definedName>
    <definedName name="SCDPT5_05BEGIN_18" localSheetId="4">'GMIC_2020-Annu_SCDPT5'!$T$7</definedName>
    <definedName name="SCDPT5_05BEGIN_19" localSheetId="4">'GMIC_2020-Annu_SCDPT5'!$U$7</definedName>
    <definedName name="SCDPT5_05BEGIN_2" localSheetId="4">'GMIC_2020-Annu_SCDPT5'!$D$7</definedName>
    <definedName name="SCDPT5_05BEGIN_20" localSheetId="4">'GMIC_2020-Annu_SCDPT5'!$V$7</definedName>
    <definedName name="SCDPT5_05BEGIN_21" localSheetId="4">'GMIC_2020-Annu_SCDPT5'!$W$7</definedName>
    <definedName name="SCDPT5_05BEGIN_22" localSheetId="4">'GMIC_2020-Annu_SCDPT5'!$X$7</definedName>
    <definedName name="SCDPT5_05BEGIN_23" localSheetId="4">'GMIC_2020-Annu_SCDPT5'!$Y$7</definedName>
    <definedName name="SCDPT5_05BEGIN_24" localSheetId="4">'GMIC_2020-Annu_SCDPT5'!$Z$7</definedName>
    <definedName name="SCDPT5_05BEGIN_25" localSheetId="4">'GMIC_2020-Annu_SCDPT5'!$AA$7</definedName>
    <definedName name="SCDPT5_05BEGIN_26" localSheetId="4">'GMIC_2020-Annu_SCDPT5'!$AB$7</definedName>
    <definedName name="SCDPT5_05BEGIN_3" localSheetId="4">'GMIC_2020-Annu_SCDPT5'!$E$7</definedName>
    <definedName name="SCDPT5_05BEGIN_4" localSheetId="4">'GMIC_2020-Annu_SCDPT5'!$F$7</definedName>
    <definedName name="SCDPT5_05BEGIN_5" localSheetId="4">'GMIC_2020-Annu_SCDPT5'!$G$7</definedName>
    <definedName name="SCDPT5_05BEGIN_6" localSheetId="4">'GMIC_2020-Annu_SCDPT5'!$H$7</definedName>
    <definedName name="SCDPT5_05BEGIN_7" localSheetId="4">'GMIC_2020-Annu_SCDPT5'!$I$7</definedName>
    <definedName name="SCDPT5_05BEGIN_8" localSheetId="4">'GMIC_2020-Annu_SCDPT5'!$J$7</definedName>
    <definedName name="SCDPT5_05BEGIN_9" localSheetId="4">'GMIC_2020-Annu_SCDPT5'!$K$7</definedName>
    <definedName name="SCDPT5_05ENDIN_10" localSheetId="4">'GMIC_2020-Annu_SCDPT5'!$L$9</definedName>
    <definedName name="SCDPT5_05ENDIN_11" localSheetId="4">'GMIC_2020-Annu_SCDPT5'!$M$9</definedName>
    <definedName name="SCDPT5_05ENDIN_12" localSheetId="4">'GMIC_2020-Annu_SCDPT5'!$N$9</definedName>
    <definedName name="SCDPT5_05ENDIN_13" localSheetId="4">'GMIC_2020-Annu_SCDPT5'!$O$9</definedName>
    <definedName name="SCDPT5_05ENDIN_14" localSheetId="4">'GMIC_2020-Annu_SCDPT5'!$P$9</definedName>
    <definedName name="SCDPT5_05ENDIN_15" localSheetId="4">'GMIC_2020-Annu_SCDPT5'!$Q$9</definedName>
    <definedName name="SCDPT5_05ENDIN_16" localSheetId="4">'GMIC_2020-Annu_SCDPT5'!$R$9</definedName>
    <definedName name="SCDPT5_05ENDIN_17" localSheetId="4">'GMIC_2020-Annu_SCDPT5'!$S$9</definedName>
    <definedName name="SCDPT5_05ENDIN_18" localSheetId="4">'GMIC_2020-Annu_SCDPT5'!$T$9</definedName>
    <definedName name="SCDPT5_05ENDIN_19" localSheetId="4">'GMIC_2020-Annu_SCDPT5'!$U$9</definedName>
    <definedName name="SCDPT5_05ENDIN_2" localSheetId="4">'GMIC_2020-Annu_SCDPT5'!$D$9</definedName>
    <definedName name="SCDPT5_05ENDIN_20" localSheetId="4">'GMIC_2020-Annu_SCDPT5'!$V$9</definedName>
    <definedName name="SCDPT5_05ENDIN_21" localSheetId="4">'GMIC_2020-Annu_SCDPT5'!$W$9</definedName>
    <definedName name="SCDPT5_05ENDIN_22" localSheetId="4">'GMIC_2020-Annu_SCDPT5'!$X$9</definedName>
    <definedName name="SCDPT5_05ENDIN_23" localSheetId="4">'GMIC_2020-Annu_SCDPT5'!$Y$9</definedName>
    <definedName name="SCDPT5_05ENDIN_24" localSheetId="4">'GMIC_2020-Annu_SCDPT5'!$Z$9</definedName>
    <definedName name="SCDPT5_05ENDIN_25" localSheetId="4">'GMIC_2020-Annu_SCDPT5'!$AA$9</definedName>
    <definedName name="SCDPT5_05ENDIN_26" localSheetId="4">'GMIC_2020-Annu_SCDPT5'!$AB$9</definedName>
    <definedName name="SCDPT5_05ENDIN_3" localSheetId="4">'GMIC_2020-Annu_SCDPT5'!$E$9</definedName>
    <definedName name="SCDPT5_05ENDIN_4" localSheetId="4">'GMIC_2020-Annu_SCDPT5'!$F$9</definedName>
    <definedName name="SCDPT5_05ENDIN_5" localSheetId="4">'GMIC_2020-Annu_SCDPT5'!$G$9</definedName>
    <definedName name="SCDPT5_05ENDIN_6" localSheetId="4">'GMIC_2020-Annu_SCDPT5'!$H$9</definedName>
    <definedName name="SCDPT5_05ENDIN_7" localSheetId="4">'GMIC_2020-Annu_SCDPT5'!$I$9</definedName>
    <definedName name="SCDPT5_05ENDIN_8" localSheetId="4">'GMIC_2020-Annu_SCDPT5'!$J$9</definedName>
    <definedName name="SCDPT5_05ENDIN_9" localSheetId="4">'GMIC_2020-Annu_SCDPT5'!$K$9</definedName>
    <definedName name="SCDPT5_1000000_Range" localSheetId="4">'GMIC_2020-Annu_SCDPT5'!$B$11:$AB$13</definedName>
    <definedName name="SCDPT5_1000001_1" localSheetId="4">'GMIC_2020-Annu_SCDPT5'!$C$12</definedName>
    <definedName name="SCDPT5_1000001_10" localSheetId="4">'GMIC_2020-Annu_SCDPT5'!$L$12</definedName>
    <definedName name="SCDPT5_1000001_11" localSheetId="4">'GMIC_2020-Annu_SCDPT5'!$M$12</definedName>
    <definedName name="SCDPT5_1000001_12" localSheetId="4">'GMIC_2020-Annu_SCDPT5'!$N$12</definedName>
    <definedName name="SCDPT5_1000001_13" localSheetId="4">'GMIC_2020-Annu_SCDPT5'!$O$12</definedName>
    <definedName name="SCDPT5_1000001_14" localSheetId="4">'GMIC_2020-Annu_SCDPT5'!$P$12</definedName>
    <definedName name="SCDPT5_1000001_15" localSheetId="4">'GMIC_2020-Annu_SCDPT5'!$Q$12</definedName>
    <definedName name="SCDPT5_1000001_16" localSheetId="4">'GMIC_2020-Annu_SCDPT5'!$R$12</definedName>
    <definedName name="SCDPT5_1000001_17" localSheetId="4">'GMIC_2020-Annu_SCDPT5'!$S$12</definedName>
    <definedName name="SCDPT5_1000001_18" localSheetId="4">'GMIC_2020-Annu_SCDPT5'!$T$12</definedName>
    <definedName name="SCDPT5_1000001_19" localSheetId="4">'GMIC_2020-Annu_SCDPT5'!$U$12</definedName>
    <definedName name="SCDPT5_1000001_2" localSheetId="4">'GMIC_2020-Annu_SCDPT5'!$D$12</definedName>
    <definedName name="SCDPT5_1000001_20" localSheetId="4">'GMIC_2020-Annu_SCDPT5'!$V$12</definedName>
    <definedName name="SCDPT5_1000001_21" localSheetId="4">'GMIC_2020-Annu_SCDPT5'!$W$12</definedName>
    <definedName name="SCDPT5_1000001_23" localSheetId="4">'GMIC_2020-Annu_SCDPT5'!$Y$12</definedName>
    <definedName name="SCDPT5_1000001_24" localSheetId="4">'GMIC_2020-Annu_SCDPT5'!$Z$12</definedName>
    <definedName name="SCDPT5_1000001_25" localSheetId="4">'GMIC_2020-Annu_SCDPT5'!$AA$12</definedName>
    <definedName name="SCDPT5_1000001_26" localSheetId="4">'GMIC_2020-Annu_SCDPT5'!$AB$12</definedName>
    <definedName name="SCDPT5_1000001_3" localSheetId="4">'GMIC_2020-Annu_SCDPT5'!$E$12</definedName>
    <definedName name="SCDPT5_1000001_4" localSheetId="4">'GMIC_2020-Annu_SCDPT5'!$F$12</definedName>
    <definedName name="SCDPT5_1000001_5" localSheetId="4">'GMIC_2020-Annu_SCDPT5'!$G$12</definedName>
    <definedName name="SCDPT5_1000001_6" localSheetId="4">'GMIC_2020-Annu_SCDPT5'!$H$12</definedName>
    <definedName name="SCDPT5_1000001_7" localSheetId="4">'GMIC_2020-Annu_SCDPT5'!$I$12</definedName>
    <definedName name="SCDPT5_1000001_8" localSheetId="4">'GMIC_2020-Annu_SCDPT5'!$J$12</definedName>
    <definedName name="SCDPT5_1000001_9" localSheetId="4">'GMIC_2020-Annu_SCDPT5'!$K$12</definedName>
    <definedName name="SCDPT5_1099999_10" localSheetId="4">'GMIC_2020-Annu_SCDPT5'!$L$14</definedName>
    <definedName name="SCDPT5_1099999_11" localSheetId="4">'GMIC_2020-Annu_SCDPT5'!$M$14</definedName>
    <definedName name="SCDPT5_1099999_12" localSheetId="4">'GMIC_2020-Annu_SCDPT5'!$N$14</definedName>
    <definedName name="SCDPT5_1099999_13" localSheetId="4">'GMIC_2020-Annu_SCDPT5'!$O$14</definedName>
    <definedName name="SCDPT5_1099999_14" localSheetId="4">'GMIC_2020-Annu_SCDPT5'!$P$14</definedName>
    <definedName name="SCDPT5_1099999_15" localSheetId="4">'GMIC_2020-Annu_SCDPT5'!$Q$14</definedName>
    <definedName name="SCDPT5_1099999_16" localSheetId="4">'GMIC_2020-Annu_SCDPT5'!$R$14</definedName>
    <definedName name="SCDPT5_1099999_17" localSheetId="4">'GMIC_2020-Annu_SCDPT5'!$S$14</definedName>
    <definedName name="SCDPT5_1099999_18" localSheetId="4">'GMIC_2020-Annu_SCDPT5'!$T$14</definedName>
    <definedName name="SCDPT5_1099999_19" localSheetId="4">'GMIC_2020-Annu_SCDPT5'!$U$14</definedName>
    <definedName name="SCDPT5_1099999_20" localSheetId="4">'GMIC_2020-Annu_SCDPT5'!$V$14</definedName>
    <definedName name="SCDPT5_1099999_21" localSheetId="4">'GMIC_2020-Annu_SCDPT5'!$W$14</definedName>
    <definedName name="SCDPT5_1099999_8" localSheetId="4">'GMIC_2020-Annu_SCDPT5'!$J$14</definedName>
    <definedName name="SCDPT5_1099999_9" localSheetId="4">'GMIC_2020-Annu_SCDPT5'!$K$14</definedName>
    <definedName name="SCDPT5_10BEGIN_1" localSheetId="4">'GMIC_2020-Annu_SCDPT5'!$C$11</definedName>
    <definedName name="SCDPT5_10BEGIN_10" localSheetId="4">'GMIC_2020-Annu_SCDPT5'!$L$11</definedName>
    <definedName name="SCDPT5_10BEGIN_11" localSheetId="4">'GMIC_2020-Annu_SCDPT5'!$M$11</definedName>
    <definedName name="SCDPT5_10BEGIN_12" localSheetId="4">'GMIC_2020-Annu_SCDPT5'!$N$11</definedName>
    <definedName name="SCDPT5_10BEGIN_13" localSheetId="4">'GMIC_2020-Annu_SCDPT5'!$O$11</definedName>
    <definedName name="SCDPT5_10BEGIN_14" localSheetId="4">'GMIC_2020-Annu_SCDPT5'!$P$11</definedName>
    <definedName name="SCDPT5_10BEGIN_15" localSheetId="4">'GMIC_2020-Annu_SCDPT5'!$Q$11</definedName>
    <definedName name="SCDPT5_10BEGIN_16" localSheetId="4">'GMIC_2020-Annu_SCDPT5'!$R$11</definedName>
    <definedName name="SCDPT5_10BEGIN_17" localSheetId="4">'GMIC_2020-Annu_SCDPT5'!$S$11</definedName>
    <definedName name="SCDPT5_10BEGIN_18" localSheetId="4">'GMIC_2020-Annu_SCDPT5'!$T$11</definedName>
    <definedName name="SCDPT5_10BEGIN_19" localSheetId="4">'GMIC_2020-Annu_SCDPT5'!$U$11</definedName>
    <definedName name="SCDPT5_10BEGIN_2" localSheetId="4">'GMIC_2020-Annu_SCDPT5'!$D$11</definedName>
    <definedName name="SCDPT5_10BEGIN_20" localSheetId="4">'GMIC_2020-Annu_SCDPT5'!$V$11</definedName>
    <definedName name="SCDPT5_10BEGIN_21" localSheetId="4">'GMIC_2020-Annu_SCDPT5'!$W$11</definedName>
    <definedName name="SCDPT5_10BEGIN_22" localSheetId="4">'GMIC_2020-Annu_SCDPT5'!$X$11</definedName>
    <definedName name="SCDPT5_10BEGIN_23" localSheetId="4">'GMIC_2020-Annu_SCDPT5'!$Y$11</definedName>
    <definedName name="SCDPT5_10BEGIN_24" localSheetId="4">'GMIC_2020-Annu_SCDPT5'!$Z$11</definedName>
    <definedName name="SCDPT5_10BEGIN_25" localSheetId="4">'GMIC_2020-Annu_SCDPT5'!$AA$11</definedName>
    <definedName name="SCDPT5_10BEGIN_26" localSheetId="4">'GMIC_2020-Annu_SCDPT5'!$AB$11</definedName>
    <definedName name="SCDPT5_10BEGIN_3" localSheetId="4">'GMIC_2020-Annu_SCDPT5'!$E$11</definedName>
    <definedName name="SCDPT5_10BEGIN_4" localSheetId="4">'GMIC_2020-Annu_SCDPT5'!$F$11</definedName>
    <definedName name="SCDPT5_10BEGIN_5" localSheetId="4">'GMIC_2020-Annu_SCDPT5'!$G$11</definedName>
    <definedName name="SCDPT5_10BEGIN_6" localSheetId="4">'GMIC_2020-Annu_SCDPT5'!$H$11</definedName>
    <definedName name="SCDPT5_10BEGIN_7" localSheetId="4">'GMIC_2020-Annu_SCDPT5'!$I$11</definedName>
    <definedName name="SCDPT5_10BEGIN_8" localSheetId="4">'GMIC_2020-Annu_SCDPT5'!$J$11</definedName>
    <definedName name="SCDPT5_10BEGIN_9" localSheetId="4">'GMIC_2020-Annu_SCDPT5'!$K$11</definedName>
    <definedName name="SCDPT5_10ENDIN_10" localSheetId="4">'GMIC_2020-Annu_SCDPT5'!$L$13</definedName>
    <definedName name="SCDPT5_10ENDIN_11" localSheetId="4">'GMIC_2020-Annu_SCDPT5'!$M$13</definedName>
    <definedName name="SCDPT5_10ENDIN_12" localSheetId="4">'GMIC_2020-Annu_SCDPT5'!$N$13</definedName>
    <definedName name="SCDPT5_10ENDIN_13" localSheetId="4">'GMIC_2020-Annu_SCDPT5'!$O$13</definedName>
    <definedName name="SCDPT5_10ENDIN_14" localSheetId="4">'GMIC_2020-Annu_SCDPT5'!$P$13</definedName>
    <definedName name="SCDPT5_10ENDIN_15" localSheetId="4">'GMIC_2020-Annu_SCDPT5'!$Q$13</definedName>
    <definedName name="SCDPT5_10ENDIN_16" localSheetId="4">'GMIC_2020-Annu_SCDPT5'!$R$13</definedName>
    <definedName name="SCDPT5_10ENDIN_17" localSheetId="4">'GMIC_2020-Annu_SCDPT5'!$S$13</definedName>
    <definedName name="SCDPT5_10ENDIN_18" localSheetId="4">'GMIC_2020-Annu_SCDPT5'!$T$13</definedName>
    <definedName name="SCDPT5_10ENDIN_19" localSheetId="4">'GMIC_2020-Annu_SCDPT5'!$U$13</definedName>
    <definedName name="SCDPT5_10ENDIN_2" localSheetId="4">'GMIC_2020-Annu_SCDPT5'!$D$13</definedName>
    <definedName name="SCDPT5_10ENDIN_20" localSheetId="4">'GMIC_2020-Annu_SCDPT5'!$V$13</definedName>
    <definedName name="SCDPT5_10ENDIN_21" localSheetId="4">'GMIC_2020-Annu_SCDPT5'!$W$13</definedName>
    <definedName name="SCDPT5_10ENDIN_22" localSheetId="4">'GMIC_2020-Annu_SCDPT5'!$X$13</definedName>
    <definedName name="SCDPT5_10ENDIN_23" localSheetId="4">'GMIC_2020-Annu_SCDPT5'!$Y$13</definedName>
    <definedName name="SCDPT5_10ENDIN_24" localSheetId="4">'GMIC_2020-Annu_SCDPT5'!$Z$13</definedName>
    <definedName name="SCDPT5_10ENDIN_25" localSheetId="4">'GMIC_2020-Annu_SCDPT5'!$AA$13</definedName>
    <definedName name="SCDPT5_10ENDIN_26" localSheetId="4">'GMIC_2020-Annu_SCDPT5'!$AB$13</definedName>
    <definedName name="SCDPT5_10ENDIN_3" localSheetId="4">'GMIC_2020-Annu_SCDPT5'!$E$13</definedName>
    <definedName name="SCDPT5_10ENDIN_4" localSheetId="4">'GMIC_2020-Annu_SCDPT5'!$F$13</definedName>
    <definedName name="SCDPT5_10ENDIN_5" localSheetId="4">'GMIC_2020-Annu_SCDPT5'!$G$13</definedName>
    <definedName name="SCDPT5_10ENDIN_6" localSheetId="4">'GMIC_2020-Annu_SCDPT5'!$H$13</definedName>
    <definedName name="SCDPT5_10ENDIN_7" localSheetId="4">'GMIC_2020-Annu_SCDPT5'!$I$13</definedName>
    <definedName name="SCDPT5_10ENDIN_8" localSheetId="4">'GMIC_2020-Annu_SCDPT5'!$J$13</definedName>
    <definedName name="SCDPT5_10ENDIN_9" localSheetId="4">'GMIC_2020-Annu_SCDPT5'!$K$13</definedName>
    <definedName name="SCDPT5_1700000_Range" localSheetId="4">'GMIC_2020-Annu_SCDPT5'!$B$15:$AB$17</definedName>
    <definedName name="SCDPT5_1799999_10" localSheetId="4">'GMIC_2020-Annu_SCDPT5'!$L$18</definedName>
    <definedName name="SCDPT5_1799999_11" localSheetId="4">'GMIC_2020-Annu_SCDPT5'!$M$18</definedName>
    <definedName name="SCDPT5_1799999_12" localSheetId="4">'GMIC_2020-Annu_SCDPT5'!$N$18</definedName>
    <definedName name="SCDPT5_1799999_13" localSheetId="4">'GMIC_2020-Annu_SCDPT5'!$O$18</definedName>
    <definedName name="SCDPT5_1799999_14" localSheetId="4">'GMIC_2020-Annu_SCDPT5'!$P$18</definedName>
    <definedName name="SCDPT5_1799999_15" localSheetId="4">'GMIC_2020-Annu_SCDPT5'!$Q$18</definedName>
    <definedName name="SCDPT5_1799999_16" localSheetId="4">'GMIC_2020-Annu_SCDPT5'!$R$18</definedName>
    <definedName name="SCDPT5_1799999_17" localSheetId="4">'GMIC_2020-Annu_SCDPT5'!$S$18</definedName>
    <definedName name="SCDPT5_1799999_18" localSheetId="4">'GMIC_2020-Annu_SCDPT5'!$T$18</definedName>
    <definedName name="SCDPT5_1799999_19" localSheetId="4">'GMIC_2020-Annu_SCDPT5'!$U$18</definedName>
    <definedName name="SCDPT5_1799999_20" localSheetId="4">'GMIC_2020-Annu_SCDPT5'!$V$18</definedName>
    <definedName name="SCDPT5_1799999_21" localSheetId="4">'GMIC_2020-Annu_SCDPT5'!$W$18</definedName>
    <definedName name="SCDPT5_1799999_8" localSheetId="4">'GMIC_2020-Annu_SCDPT5'!$J$18</definedName>
    <definedName name="SCDPT5_1799999_9" localSheetId="4">'GMIC_2020-Annu_SCDPT5'!$K$18</definedName>
    <definedName name="SCDPT5_17BEGIN_1" localSheetId="4">'GMIC_2020-Annu_SCDPT5'!$C$15</definedName>
    <definedName name="SCDPT5_17BEGIN_10" localSheetId="4">'GMIC_2020-Annu_SCDPT5'!$L$15</definedName>
    <definedName name="SCDPT5_17BEGIN_11" localSheetId="4">'GMIC_2020-Annu_SCDPT5'!$M$15</definedName>
    <definedName name="SCDPT5_17BEGIN_12" localSheetId="4">'GMIC_2020-Annu_SCDPT5'!$N$15</definedName>
    <definedName name="SCDPT5_17BEGIN_13" localSheetId="4">'GMIC_2020-Annu_SCDPT5'!$O$15</definedName>
    <definedName name="SCDPT5_17BEGIN_14" localSheetId="4">'GMIC_2020-Annu_SCDPT5'!$P$15</definedName>
    <definedName name="SCDPT5_17BEGIN_15" localSheetId="4">'GMIC_2020-Annu_SCDPT5'!$Q$15</definedName>
    <definedName name="SCDPT5_17BEGIN_16" localSheetId="4">'GMIC_2020-Annu_SCDPT5'!$R$15</definedName>
    <definedName name="SCDPT5_17BEGIN_17" localSheetId="4">'GMIC_2020-Annu_SCDPT5'!$S$15</definedName>
    <definedName name="SCDPT5_17BEGIN_18" localSheetId="4">'GMIC_2020-Annu_SCDPT5'!$T$15</definedName>
    <definedName name="SCDPT5_17BEGIN_19" localSheetId="4">'GMIC_2020-Annu_SCDPT5'!$U$15</definedName>
    <definedName name="SCDPT5_17BEGIN_2" localSheetId="4">'GMIC_2020-Annu_SCDPT5'!$D$15</definedName>
    <definedName name="SCDPT5_17BEGIN_20" localSheetId="4">'GMIC_2020-Annu_SCDPT5'!$V$15</definedName>
    <definedName name="SCDPT5_17BEGIN_21" localSheetId="4">'GMIC_2020-Annu_SCDPT5'!$W$15</definedName>
    <definedName name="SCDPT5_17BEGIN_22" localSheetId="4">'GMIC_2020-Annu_SCDPT5'!$X$15</definedName>
    <definedName name="SCDPT5_17BEGIN_23" localSheetId="4">'GMIC_2020-Annu_SCDPT5'!$Y$15</definedName>
    <definedName name="SCDPT5_17BEGIN_24" localSheetId="4">'GMIC_2020-Annu_SCDPT5'!$Z$15</definedName>
    <definedName name="SCDPT5_17BEGIN_25" localSheetId="4">'GMIC_2020-Annu_SCDPT5'!$AA$15</definedName>
    <definedName name="SCDPT5_17BEGIN_26" localSheetId="4">'GMIC_2020-Annu_SCDPT5'!$AB$15</definedName>
    <definedName name="SCDPT5_17BEGIN_3" localSheetId="4">'GMIC_2020-Annu_SCDPT5'!$E$15</definedName>
    <definedName name="SCDPT5_17BEGIN_4" localSheetId="4">'GMIC_2020-Annu_SCDPT5'!$F$15</definedName>
    <definedName name="SCDPT5_17BEGIN_5" localSheetId="4">'GMIC_2020-Annu_SCDPT5'!$G$15</definedName>
    <definedName name="SCDPT5_17BEGIN_6" localSheetId="4">'GMIC_2020-Annu_SCDPT5'!$H$15</definedName>
    <definedName name="SCDPT5_17BEGIN_7" localSheetId="4">'GMIC_2020-Annu_SCDPT5'!$I$15</definedName>
    <definedName name="SCDPT5_17BEGIN_8" localSheetId="4">'GMIC_2020-Annu_SCDPT5'!$J$15</definedName>
    <definedName name="SCDPT5_17BEGIN_9" localSheetId="4">'GMIC_2020-Annu_SCDPT5'!$K$15</definedName>
    <definedName name="SCDPT5_17ENDIN_10" localSheetId="4">'GMIC_2020-Annu_SCDPT5'!$L$17</definedName>
    <definedName name="SCDPT5_17ENDIN_11" localSheetId="4">'GMIC_2020-Annu_SCDPT5'!$M$17</definedName>
    <definedName name="SCDPT5_17ENDIN_12" localSheetId="4">'GMIC_2020-Annu_SCDPT5'!$N$17</definedName>
    <definedName name="SCDPT5_17ENDIN_13" localSheetId="4">'GMIC_2020-Annu_SCDPT5'!$O$17</definedName>
    <definedName name="SCDPT5_17ENDIN_14" localSheetId="4">'GMIC_2020-Annu_SCDPT5'!$P$17</definedName>
    <definedName name="SCDPT5_17ENDIN_15" localSheetId="4">'GMIC_2020-Annu_SCDPT5'!$Q$17</definedName>
    <definedName name="SCDPT5_17ENDIN_16" localSheetId="4">'GMIC_2020-Annu_SCDPT5'!$R$17</definedName>
    <definedName name="SCDPT5_17ENDIN_17" localSheetId="4">'GMIC_2020-Annu_SCDPT5'!$S$17</definedName>
    <definedName name="SCDPT5_17ENDIN_18" localSheetId="4">'GMIC_2020-Annu_SCDPT5'!$T$17</definedName>
    <definedName name="SCDPT5_17ENDIN_19" localSheetId="4">'GMIC_2020-Annu_SCDPT5'!$U$17</definedName>
    <definedName name="SCDPT5_17ENDIN_2" localSheetId="4">'GMIC_2020-Annu_SCDPT5'!$D$17</definedName>
    <definedName name="SCDPT5_17ENDIN_20" localSheetId="4">'GMIC_2020-Annu_SCDPT5'!$V$17</definedName>
    <definedName name="SCDPT5_17ENDIN_21" localSheetId="4">'GMIC_2020-Annu_SCDPT5'!$W$17</definedName>
    <definedName name="SCDPT5_17ENDIN_22" localSheetId="4">'GMIC_2020-Annu_SCDPT5'!$X$17</definedName>
    <definedName name="SCDPT5_17ENDIN_23" localSheetId="4">'GMIC_2020-Annu_SCDPT5'!$Y$17</definedName>
    <definedName name="SCDPT5_17ENDIN_24" localSheetId="4">'GMIC_2020-Annu_SCDPT5'!$Z$17</definedName>
    <definedName name="SCDPT5_17ENDIN_25" localSheetId="4">'GMIC_2020-Annu_SCDPT5'!$AA$17</definedName>
    <definedName name="SCDPT5_17ENDIN_26" localSheetId="4">'GMIC_2020-Annu_SCDPT5'!$AB$17</definedName>
    <definedName name="SCDPT5_17ENDIN_3" localSheetId="4">'GMIC_2020-Annu_SCDPT5'!$E$17</definedName>
    <definedName name="SCDPT5_17ENDIN_4" localSheetId="4">'GMIC_2020-Annu_SCDPT5'!$F$17</definedName>
    <definedName name="SCDPT5_17ENDIN_5" localSheetId="4">'GMIC_2020-Annu_SCDPT5'!$G$17</definedName>
    <definedName name="SCDPT5_17ENDIN_6" localSheetId="4">'GMIC_2020-Annu_SCDPT5'!$H$17</definedName>
    <definedName name="SCDPT5_17ENDIN_7" localSheetId="4">'GMIC_2020-Annu_SCDPT5'!$I$17</definedName>
    <definedName name="SCDPT5_17ENDIN_8" localSheetId="4">'GMIC_2020-Annu_SCDPT5'!$J$17</definedName>
    <definedName name="SCDPT5_17ENDIN_9" localSheetId="4">'GMIC_2020-Annu_SCDPT5'!$K$17</definedName>
    <definedName name="SCDPT5_2400000_Range" localSheetId="4">'GMIC_2020-Annu_SCDPT5'!$B$19:$AB$21</definedName>
    <definedName name="SCDPT5_2499999_10" localSheetId="4">'GMIC_2020-Annu_SCDPT5'!$L$22</definedName>
    <definedName name="SCDPT5_2499999_11" localSheetId="4">'GMIC_2020-Annu_SCDPT5'!$M$22</definedName>
    <definedName name="SCDPT5_2499999_12" localSheetId="4">'GMIC_2020-Annu_SCDPT5'!$N$22</definedName>
    <definedName name="SCDPT5_2499999_13" localSheetId="4">'GMIC_2020-Annu_SCDPT5'!$O$22</definedName>
    <definedName name="SCDPT5_2499999_14" localSheetId="4">'GMIC_2020-Annu_SCDPT5'!$P$22</definedName>
    <definedName name="SCDPT5_2499999_15" localSheetId="4">'GMIC_2020-Annu_SCDPT5'!$Q$22</definedName>
    <definedName name="SCDPT5_2499999_16" localSheetId="4">'GMIC_2020-Annu_SCDPT5'!$R$22</definedName>
    <definedName name="SCDPT5_2499999_17" localSheetId="4">'GMIC_2020-Annu_SCDPT5'!$S$22</definedName>
    <definedName name="SCDPT5_2499999_18" localSheetId="4">'GMIC_2020-Annu_SCDPT5'!$T$22</definedName>
    <definedName name="SCDPT5_2499999_19" localSheetId="4">'GMIC_2020-Annu_SCDPT5'!$U$22</definedName>
    <definedName name="SCDPT5_2499999_20" localSheetId="4">'GMIC_2020-Annu_SCDPT5'!$V$22</definedName>
    <definedName name="SCDPT5_2499999_21" localSheetId="4">'GMIC_2020-Annu_SCDPT5'!$W$22</definedName>
    <definedName name="SCDPT5_2499999_8" localSheetId="4">'GMIC_2020-Annu_SCDPT5'!$J$22</definedName>
    <definedName name="SCDPT5_2499999_9" localSheetId="4">'GMIC_2020-Annu_SCDPT5'!$K$22</definedName>
    <definedName name="SCDPT5_24BEGIN_1" localSheetId="4">'GMIC_2020-Annu_SCDPT5'!$C$19</definedName>
    <definedName name="SCDPT5_24BEGIN_10" localSheetId="4">'GMIC_2020-Annu_SCDPT5'!$L$19</definedName>
    <definedName name="SCDPT5_24BEGIN_11" localSheetId="4">'GMIC_2020-Annu_SCDPT5'!$M$19</definedName>
    <definedName name="SCDPT5_24BEGIN_12" localSheetId="4">'GMIC_2020-Annu_SCDPT5'!$N$19</definedName>
    <definedName name="SCDPT5_24BEGIN_13" localSheetId="4">'GMIC_2020-Annu_SCDPT5'!$O$19</definedName>
    <definedName name="SCDPT5_24BEGIN_14" localSheetId="4">'GMIC_2020-Annu_SCDPT5'!$P$19</definedName>
    <definedName name="SCDPT5_24BEGIN_15" localSheetId="4">'GMIC_2020-Annu_SCDPT5'!$Q$19</definedName>
    <definedName name="SCDPT5_24BEGIN_16" localSheetId="4">'GMIC_2020-Annu_SCDPT5'!$R$19</definedName>
    <definedName name="SCDPT5_24BEGIN_17" localSheetId="4">'GMIC_2020-Annu_SCDPT5'!$S$19</definedName>
    <definedName name="SCDPT5_24BEGIN_18" localSheetId="4">'GMIC_2020-Annu_SCDPT5'!$T$19</definedName>
    <definedName name="SCDPT5_24BEGIN_19" localSheetId="4">'GMIC_2020-Annu_SCDPT5'!$U$19</definedName>
    <definedName name="SCDPT5_24BEGIN_2" localSheetId="4">'GMIC_2020-Annu_SCDPT5'!$D$19</definedName>
    <definedName name="SCDPT5_24BEGIN_20" localSheetId="4">'GMIC_2020-Annu_SCDPT5'!$V$19</definedName>
    <definedName name="SCDPT5_24BEGIN_21" localSheetId="4">'GMIC_2020-Annu_SCDPT5'!$W$19</definedName>
    <definedName name="SCDPT5_24BEGIN_22" localSheetId="4">'GMIC_2020-Annu_SCDPT5'!$X$19</definedName>
    <definedName name="SCDPT5_24BEGIN_23" localSheetId="4">'GMIC_2020-Annu_SCDPT5'!$Y$19</definedName>
    <definedName name="SCDPT5_24BEGIN_24" localSheetId="4">'GMIC_2020-Annu_SCDPT5'!$Z$19</definedName>
    <definedName name="SCDPT5_24BEGIN_25" localSheetId="4">'GMIC_2020-Annu_SCDPT5'!$AA$19</definedName>
    <definedName name="SCDPT5_24BEGIN_26" localSheetId="4">'GMIC_2020-Annu_SCDPT5'!$AB$19</definedName>
    <definedName name="SCDPT5_24BEGIN_3" localSheetId="4">'GMIC_2020-Annu_SCDPT5'!$E$19</definedName>
    <definedName name="SCDPT5_24BEGIN_4" localSheetId="4">'GMIC_2020-Annu_SCDPT5'!$F$19</definedName>
    <definedName name="SCDPT5_24BEGIN_5" localSheetId="4">'GMIC_2020-Annu_SCDPT5'!$G$19</definedName>
    <definedName name="SCDPT5_24BEGIN_6" localSheetId="4">'GMIC_2020-Annu_SCDPT5'!$H$19</definedName>
    <definedName name="SCDPT5_24BEGIN_7" localSheetId="4">'GMIC_2020-Annu_SCDPT5'!$I$19</definedName>
    <definedName name="SCDPT5_24BEGIN_8" localSheetId="4">'GMIC_2020-Annu_SCDPT5'!$J$19</definedName>
    <definedName name="SCDPT5_24BEGIN_9" localSheetId="4">'GMIC_2020-Annu_SCDPT5'!$K$19</definedName>
    <definedName name="SCDPT5_24ENDIN_10" localSheetId="4">'GMIC_2020-Annu_SCDPT5'!$L$21</definedName>
    <definedName name="SCDPT5_24ENDIN_11" localSheetId="4">'GMIC_2020-Annu_SCDPT5'!$M$21</definedName>
    <definedName name="SCDPT5_24ENDIN_12" localSheetId="4">'GMIC_2020-Annu_SCDPT5'!$N$21</definedName>
    <definedName name="SCDPT5_24ENDIN_13" localSheetId="4">'GMIC_2020-Annu_SCDPT5'!$O$21</definedName>
    <definedName name="SCDPT5_24ENDIN_14" localSheetId="4">'GMIC_2020-Annu_SCDPT5'!$P$21</definedName>
    <definedName name="SCDPT5_24ENDIN_15" localSheetId="4">'GMIC_2020-Annu_SCDPT5'!$Q$21</definedName>
    <definedName name="SCDPT5_24ENDIN_16" localSheetId="4">'GMIC_2020-Annu_SCDPT5'!$R$21</definedName>
    <definedName name="SCDPT5_24ENDIN_17" localSheetId="4">'GMIC_2020-Annu_SCDPT5'!$S$21</definedName>
    <definedName name="SCDPT5_24ENDIN_18" localSheetId="4">'GMIC_2020-Annu_SCDPT5'!$T$21</definedName>
    <definedName name="SCDPT5_24ENDIN_19" localSheetId="4">'GMIC_2020-Annu_SCDPT5'!$U$21</definedName>
    <definedName name="SCDPT5_24ENDIN_2" localSheetId="4">'GMIC_2020-Annu_SCDPT5'!$D$21</definedName>
    <definedName name="SCDPT5_24ENDIN_20" localSheetId="4">'GMIC_2020-Annu_SCDPT5'!$V$21</definedName>
    <definedName name="SCDPT5_24ENDIN_21" localSheetId="4">'GMIC_2020-Annu_SCDPT5'!$W$21</definedName>
    <definedName name="SCDPT5_24ENDIN_22" localSheetId="4">'GMIC_2020-Annu_SCDPT5'!$X$21</definedName>
    <definedName name="SCDPT5_24ENDIN_23" localSheetId="4">'GMIC_2020-Annu_SCDPT5'!$Y$21</definedName>
    <definedName name="SCDPT5_24ENDIN_24" localSheetId="4">'GMIC_2020-Annu_SCDPT5'!$Z$21</definedName>
    <definedName name="SCDPT5_24ENDIN_25" localSheetId="4">'GMIC_2020-Annu_SCDPT5'!$AA$21</definedName>
    <definedName name="SCDPT5_24ENDIN_26" localSheetId="4">'GMIC_2020-Annu_SCDPT5'!$AB$21</definedName>
    <definedName name="SCDPT5_24ENDIN_3" localSheetId="4">'GMIC_2020-Annu_SCDPT5'!$E$21</definedName>
    <definedName name="SCDPT5_24ENDIN_4" localSheetId="4">'GMIC_2020-Annu_SCDPT5'!$F$21</definedName>
    <definedName name="SCDPT5_24ENDIN_5" localSheetId="4">'GMIC_2020-Annu_SCDPT5'!$G$21</definedName>
    <definedName name="SCDPT5_24ENDIN_6" localSheetId="4">'GMIC_2020-Annu_SCDPT5'!$H$21</definedName>
    <definedName name="SCDPT5_24ENDIN_7" localSheetId="4">'GMIC_2020-Annu_SCDPT5'!$I$21</definedName>
    <definedName name="SCDPT5_24ENDIN_8" localSheetId="4">'GMIC_2020-Annu_SCDPT5'!$J$21</definedName>
    <definedName name="SCDPT5_24ENDIN_9" localSheetId="4">'GMIC_2020-Annu_SCDPT5'!$K$21</definedName>
    <definedName name="SCDPT5_3100000_Range" localSheetId="4">'GMIC_2020-Annu_SCDPT5'!$B$23:$AB$25</definedName>
    <definedName name="SCDPT5_3199999_10" localSheetId="4">'GMIC_2020-Annu_SCDPT5'!$L$26</definedName>
    <definedName name="SCDPT5_3199999_11" localSheetId="4">'GMIC_2020-Annu_SCDPT5'!$M$26</definedName>
    <definedName name="SCDPT5_3199999_12" localSheetId="4">'GMIC_2020-Annu_SCDPT5'!$N$26</definedName>
    <definedName name="SCDPT5_3199999_13" localSheetId="4">'GMIC_2020-Annu_SCDPT5'!$O$26</definedName>
    <definedName name="SCDPT5_3199999_14" localSheetId="4">'GMIC_2020-Annu_SCDPT5'!$P$26</definedName>
    <definedName name="SCDPT5_3199999_15" localSheetId="4">'GMIC_2020-Annu_SCDPT5'!$Q$26</definedName>
    <definedName name="SCDPT5_3199999_16" localSheetId="4">'GMIC_2020-Annu_SCDPT5'!$R$26</definedName>
    <definedName name="SCDPT5_3199999_17" localSheetId="4">'GMIC_2020-Annu_SCDPT5'!$S$26</definedName>
    <definedName name="SCDPT5_3199999_18" localSheetId="4">'GMIC_2020-Annu_SCDPT5'!$T$26</definedName>
    <definedName name="SCDPT5_3199999_19" localSheetId="4">'GMIC_2020-Annu_SCDPT5'!$U$26</definedName>
    <definedName name="SCDPT5_3199999_20" localSheetId="4">'GMIC_2020-Annu_SCDPT5'!$V$26</definedName>
    <definedName name="SCDPT5_3199999_21" localSheetId="4">'GMIC_2020-Annu_SCDPT5'!$W$26</definedName>
    <definedName name="SCDPT5_3199999_8" localSheetId="4">'GMIC_2020-Annu_SCDPT5'!$J$26</definedName>
    <definedName name="SCDPT5_3199999_9" localSheetId="4">'GMIC_2020-Annu_SCDPT5'!$K$26</definedName>
    <definedName name="SCDPT5_31BEGIN_1" localSheetId="4">'GMIC_2020-Annu_SCDPT5'!$C$23</definedName>
    <definedName name="SCDPT5_31BEGIN_10" localSheetId="4">'GMIC_2020-Annu_SCDPT5'!$L$23</definedName>
    <definedName name="SCDPT5_31BEGIN_11" localSheetId="4">'GMIC_2020-Annu_SCDPT5'!$M$23</definedName>
    <definedName name="SCDPT5_31BEGIN_12" localSheetId="4">'GMIC_2020-Annu_SCDPT5'!$N$23</definedName>
    <definedName name="SCDPT5_31BEGIN_13" localSheetId="4">'GMIC_2020-Annu_SCDPT5'!$O$23</definedName>
    <definedName name="SCDPT5_31BEGIN_14" localSheetId="4">'GMIC_2020-Annu_SCDPT5'!$P$23</definedName>
    <definedName name="SCDPT5_31BEGIN_15" localSheetId="4">'GMIC_2020-Annu_SCDPT5'!$Q$23</definedName>
    <definedName name="SCDPT5_31BEGIN_16" localSheetId="4">'GMIC_2020-Annu_SCDPT5'!$R$23</definedName>
    <definedName name="SCDPT5_31BEGIN_17" localSheetId="4">'GMIC_2020-Annu_SCDPT5'!$S$23</definedName>
    <definedName name="SCDPT5_31BEGIN_18" localSheetId="4">'GMIC_2020-Annu_SCDPT5'!$T$23</definedName>
    <definedName name="SCDPT5_31BEGIN_19" localSheetId="4">'GMIC_2020-Annu_SCDPT5'!$U$23</definedName>
    <definedName name="SCDPT5_31BEGIN_2" localSheetId="4">'GMIC_2020-Annu_SCDPT5'!$D$23</definedName>
    <definedName name="SCDPT5_31BEGIN_20" localSheetId="4">'GMIC_2020-Annu_SCDPT5'!$V$23</definedName>
    <definedName name="SCDPT5_31BEGIN_21" localSheetId="4">'GMIC_2020-Annu_SCDPT5'!$W$23</definedName>
    <definedName name="SCDPT5_31BEGIN_22" localSheetId="4">'GMIC_2020-Annu_SCDPT5'!$X$23</definedName>
    <definedName name="SCDPT5_31BEGIN_23" localSheetId="4">'GMIC_2020-Annu_SCDPT5'!$Y$23</definedName>
    <definedName name="SCDPT5_31BEGIN_24" localSheetId="4">'GMIC_2020-Annu_SCDPT5'!$Z$23</definedName>
    <definedName name="SCDPT5_31BEGIN_25" localSheetId="4">'GMIC_2020-Annu_SCDPT5'!$AA$23</definedName>
    <definedName name="SCDPT5_31BEGIN_26" localSheetId="4">'GMIC_2020-Annu_SCDPT5'!$AB$23</definedName>
    <definedName name="SCDPT5_31BEGIN_3" localSheetId="4">'GMIC_2020-Annu_SCDPT5'!$E$23</definedName>
    <definedName name="SCDPT5_31BEGIN_4" localSheetId="4">'GMIC_2020-Annu_SCDPT5'!$F$23</definedName>
    <definedName name="SCDPT5_31BEGIN_5" localSheetId="4">'GMIC_2020-Annu_SCDPT5'!$G$23</definedName>
    <definedName name="SCDPT5_31BEGIN_6" localSheetId="4">'GMIC_2020-Annu_SCDPT5'!$H$23</definedName>
    <definedName name="SCDPT5_31BEGIN_7" localSheetId="4">'GMIC_2020-Annu_SCDPT5'!$I$23</definedName>
    <definedName name="SCDPT5_31BEGIN_8" localSheetId="4">'GMIC_2020-Annu_SCDPT5'!$J$23</definedName>
    <definedName name="SCDPT5_31BEGIN_9" localSheetId="4">'GMIC_2020-Annu_SCDPT5'!$K$23</definedName>
    <definedName name="SCDPT5_31ENDIN_10" localSheetId="4">'GMIC_2020-Annu_SCDPT5'!$L$25</definedName>
    <definedName name="SCDPT5_31ENDIN_11" localSheetId="4">'GMIC_2020-Annu_SCDPT5'!$M$25</definedName>
    <definedName name="SCDPT5_31ENDIN_12" localSheetId="4">'GMIC_2020-Annu_SCDPT5'!$N$25</definedName>
    <definedName name="SCDPT5_31ENDIN_13" localSheetId="4">'GMIC_2020-Annu_SCDPT5'!$O$25</definedName>
    <definedName name="SCDPT5_31ENDIN_14" localSheetId="4">'GMIC_2020-Annu_SCDPT5'!$P$25</definedName>
    <definedName name="SCDPT5_31ENDIN_15" localSheetId="4">'GMIC_2020-Annu_SCDPT5'!$Q$25</definedName>
    <definedName name="SCDPT5_31ENDIN_16" localSheetId="4">'GMIC_2020-Annu_SCDPT5'!$R$25</definedName>
    <definedName name="SCDPT5_31ENDIN_17" localSheetId="4">'GMIC_2020-Annu_SCDPT5'!$S$25</definedName>
    <definedName name="SCDPT5_31ENDIN_18" localSheetId="4">'GMIC_2020-Annu_SCDPT5'!$T$25</definedName>
    <definedName name="SCDPT5_31ENDIN_19" localSheetId="4">'GMIC_2020-Annu_SCDPT5'!$U$25</definedName>
    <definedName name="SCDPT5_31ENDIN_2" localSheetId="4">'GMIC_2020-Annu_SCDPT5'!$D$25</definedName>
    <definedName name="SCDPT5_31ENDIN_20" localSheetId="4">'GMIC_2020-Annu_SCDPT5'!$V$25</definedName>
    <definedName name="SCDPT5_31ENDIN_21" localSheetId="4">'GMIC_2020-Annu_SCDPT5'!$W$25</definedName>
    <definedName name="SCDPT5_31ENDIN_22" localSheetId="4">'GMIC_2020-Annu_SCDPT5'!$X$25</definedName>
    <definedName name="SCDPT5_31ENDIN_23" localSheetId="4">'GMIC_2020-Annu_SCDPT5'!$Y$25</definedName>
    <definedName name="SCDPT5_31ENDIN_24" localSheetId="4">'GMIC_2020-Annu_SCDPT5'!$Z$25</definedName>
    <definedName name="SCDPT5_31ENDIN_25" localSheetId="4">'GMIC_2020-Annu_SCDPT5'!$AA$25</definedName>
    <definedName name="SCDPT5_31ENDIN_26" localSheetId="4">'GMIC_2020-Annu_SCDPT5'!$AB$25</definedName>
    <definedName name="SCDPT5_31ENDIN_3" localSheetId="4">'GMIC_2020-Annu_SCDPT5'!$E$25</definedName>
    <definedName name="SCDPT5_31ENDIN_4" localSheetId="4">'GMIC_2020-Annu_SCDPT5'!$F$25</definedName>
    <definedName name="SCDPT5_31ENDIN_5" localSheetId="4">'GMIC_2020-Annu_SCDPT5'!$G$25</definedName>
    <definedName name="SCDPT5_31ENDIN_6" localSheetId="4">'GMIC_2020-Annu_SCDPT5'!$H$25</definedName>
    <definedName name="SCDPT5_31ENDIN_7" localSheetId="4">'GMIC_2020-Annu_SCDPT5'!$I$25</definedName>
    <definedName name="SCDPT5_31ENDIN_8" localSheetId="4">'GMIC_2020-Annu_SCDPT5'!$J$25</definedName>
    <definedName name="SCDPT5_31ENDIN_9" localSheetId="4">'GMIC_2020-Annu_SCDPT5'!$K$25</definedName>
    <definedName name="SCDPT5_3800000_Range" localSheetId="4">'GMIC_2020-Annu_SCDPT5'!$B$27:$AB$78</definedName>
    <definedName name="SCDPT5_3800001_1" localSheetId="4">'GMIC_2020-Annu_SCDPT5'!$C$28</definedName>
    <definedName name="SCDPT5_3800001_10" localSheetId="4">'GMIC_2020-Annu_SCDPT5'!$L$28</definedName>
    <definedName name="SCDPT5_3800001_11" localSheetId="4">'GMIC_2020-Annu_SCDPT5'!$M$28</definedName>
    <definedName name="SCDPT5_3800001_12" localSheetId="4">'GMIC_2020-Annu_SCDPT5'!$N$28</definedName>
    <definedName name="SCDPT5_3800001_13" localSheetId="4">'GMIC_2020-Annu_SCDPT5'!$O$28</definedName>
    <definedName name="SCDPT5_3800001_14" localSheetId="4">'GMIC_2020-Annu_SCDPT5'!$P$28</definedName>
    <definedName name="SCDPT5_3800001_15" localSheetId="4">'GMIC_2020-Annu_SCDPT5'!$Q$28</definedName>
    <definedName name="SCDPT5_3800001_16" localSheetId="4">'GMIC_2020-Annu_SCDPT5'!$R$28</definedName>
    <definedName name="SCDPT5_3800001_17" localSheetId="4">'GMIC_2020-Annu_SCDPT5'!$S$28</definedName>
    <definedName name="SCDPT5_3800001_18" localSheetId="4">'GMIC_2020-Annu_SCDPT5'!$T$28</definedName>
    <definedName name="SCDPT5_3800001_19" localSheetId="4">'GMIC_2020-Annu_SCDPT5'!$U$28</definedName>
    <definedName name="SCDPT5_3800001_2" localSheetId="4">'GMIC_2020-Annu_SCDPT5'!$D$28</definedName>
    <definedName name="SCDPT5_3800001_20" localSheetId="4">'GMIC_2020-Annu_SCDPT5'!$V$28</definedName>
    <definedName name="SCDPT5_3800001_21" localSheetId="4">'GMIC_2020-Annu_SCDPT5'!$W$28</definedName>
    <definedName name="SCDPT5_3800001_23" localSheetId="4">'GMIC_2020-Annu_SCDPT5'!$Y$28</definedName>
    <definedName name="SCDPT5_3800001_24" localSheetId="4">'GMIC_2020-Annu_SCDPT5'!$Z$28</definedName>
    <definedName name="SCDPT5_3800001_25" localSheetId="4">'GMIC_2020-Annu_SCDPT5'!$AA$28</definedName>
    <definedName name="SCDPT5_3800001_26" localSheetId="4">'GMIC_2020-Annu_SCDPT5'!$AB$28</definedName>
    <definedName name="SCDPT5_3800001_3" localSheetId="4">'GMIC_2020-Annu_SCDPT5'!$E$28</definedName>
    <definedName name="SCDPT5_3800001_4" localSheetId="4">'GMIC_2020-Annu_SCDPT5'!$F$28</definedName>
    <definedName name="SCDPT5_3800001_5" localSheetId="4">'GMIC_2020-Annu_SCDPT5'!$G$28</definedName>
    <definedName name="SCDPT5_3800001_6" localSheetId="4">'GMIC_2020-Annu_SCDPT5'!$H$28</definedName>
    <definedName name="SCDPT5_3800001_7" localSheetId="4">'GMIC_2020-Annu_SCDPT5'!$I$28</definedName>
    <definedName name="SCDPT5_3800001_8" localSheetId="4">'GMIC_2020-Annu_SCDPT5'!$J$28</definedName>
    <definedName name="SCDPT5_3800001_9" localSheetId="4">'GMIC_2020-Annu_SCDPT5'!$K$28</definedName>
    <definedName name="SCDPT5_3899999_10" localSheetId="4">'GMIC_2020-Annu_SCDPT5'!$L$79</definedName>
    <definedName name="SCDPT5_3899999_11" localSheetId="4">'GMIC_2020-Annu_SCDPT5'!$M$79</definedName>
    <definedName name="SCDPT5_3899999_12" localSheetId="4">'GMIC_2020-Annu_SCDPT5'!$N$79</definedName>
    <definedName name="SCDPT5_3899999_13" localSheetId="4">'GMIC_2020-Annu_SCDPT5'!$O$79</definedName>
    <definedName name="SCDPT5_3899999_14" localSheetId="4">'GMIC_2020-Annu_SCDPT5'!$P$79</definedName>
    <definedName name="SCDPT5_3899999_15" localSheetId="4">'GMIC_2020-Annu_SCDPT5'!$Q$79</definedName>
    <definedName name="SCDPT5_3899999_16" localSheetId="4">'GMIC_2020-Annu_SCDPT5'!$R$79</definedName>
    <definedName name="SCDPT5_3899999_17" localSheetId="4">'GMIC_2020-Annu_SCDPT5'!$S$79</definedName>
    <definedName name="SCDPT5_3899999_18" localSheetId="4">'GMIC_2020-Annu_SCDPT5'!$T$79</definedName>
    <definedName name="SCDPT5_3899999_19" localSheetId="4">'GMIC_2020-Annu_SCDPT5'!$U$79</definedName>
    <definedName name="SCDPT5_3899999_20" localSheetId="4">'GMIC_2020-Annu_SCDPT5'!$V$79</definedName>
    <definedName name="SCDPT5_3899999_21" localSheetId="4">'GMIC_2020-Annu_SCDPT5'!$W$79</definedName>
    <definedName name="SCDPT5_3899999_8" localSheetId="4">'GMIC_2020-Annu_SCDPT5'!$J$79</definedName>
    <definedName name="SCDPT5_3899999_9" localSheetId="4">'GMIC_2020-Annu_SCDPT5'!$K$79</definedName>
    <definedName name="SCDPT5_38BEGIN_1" localSheetId="4">'GMIC_2020-Annu_SCDPT5'!$C$27</definedName>
    <definedName name="SCDPT5_38BEGIN_10" localSheetId="4">'GMIC_2020-Annu_SCDPT5'!$L$27</definedName>
    <definedName name="SCDPT5_38BEGIN_11" localSheetId="4">'GMIC_2020-Annu_SCDPT5'!$M$27</definedName>
    <definedName name="SCDPT5_38BEGIN_12" localSheetId="4">'GMIC_2020-Annu_SCDPT5'!$N$27</definedName>
    <definedName name="SCDPT5_38BEGIN_13" localSheetId="4">'GMIC_2020-Annu_SCDPT5'!$O$27</definedName>
    <definedName name="SCDPT5_38BEGIN_14" localSheetId="4">'GMIC_2020-Annu_SCDPT5'!$P$27</definedName>
    <definedName name="SCDPT5_38BEGIN_15" localSheetId="4">'GMIC_2020-Annu_SCDPT5'!$Q$27</definedName>
    <definedName name="SCDPT5_38BEGIN_16" localSheetId="4">'GMIC_2020-Annu_SCDPT5'!$R$27</definedName>
    <definedName name="SCDPT5_38BEGIN_17" localSheetId="4">'GMIC_2020-Annu_SCDPT5'!$S$27</definedName>
    <definedName name="SCDPT5_38BEGIN_18" localSheetId="4">'GMIC_2020-Annu_SCDPT5'!$T$27</definedName>
    <definedName name="SCDPT5_38BEGIN_19" localSheetId="4">'GMIC_2020-Annu_SCDPT5'!$U$27</definedName>
    <definedName name="SCDPT5_38BEGIN_2" localSheetId="4">'GMIC_2020-Annu_SCDPT5'!$D$27</definedName>
    <definedName name="SCDPT5_38BEGIN_20" localSheetId="4">'GMIC_2020-Annu_SCDPT5'!$V$27</definedName>
    <definedName name="SCDPT5_38BEGIN_21" localSheetId="4">'GMIC_2020-Annu_SCDPT5'!$W$27</definedName>
    <definedName name="SCDPT5_38BEGIN_22" localSheetId="4">'GMIC_2020-Annu_SCDPT5'!$X$27</definedName>
    <definedName name="SCDPT5_38BEGIN_23" localSheetId="4">'GMIC_2020-Annu_SCDPT5'!$Y$27</definedName>
    <definedName name="SCDPT5_38BEGIN_24" localSheetId="4">'GMIC_2020-Annu_SCDPT5'!$Z$27</definedName>
    <definedName name="SCDPT5_38BEGIN_25" localSheetId="4">'GMIC_2020-Annu_SCDPT5'!$AA$27</definedName>
    <definedName name="SCDPT5_38BEGIN_26" localSheetId="4">'GMIC_2020-Annu_SCDPT5'!$AB$27</definedName>
    <definedName name="SCDPT5_38BEGIN_3" localSheetId="4">'GMIC_2020-Annu_SCDPT5'!$E$27</definedName>
    <definedName name="SCDPT5_38BEGIN_4" localSheetId="4">'GMIC_2020-Annu_SCDPT5'!$F$27</definedName>
    <definedName name="SCDPT5_38BEGIN_5" localSheetId="4">'GMIC_2020-Annu_SCDPT5'!$G$27</definedName>
    <definedName name="SCDPT5_38BEGIN_6" localSheetId="4">'GMIC_2020-Annu_SCDPT5'!$H$27</definedName>
    <definedName name="SCDPT5_38BEGIN_7" localSheetId="4">'GMIC_2020-Annu_SCDPT5'!$I$27</definedName>
    <definedName name="SCDPT5_38BEGIN_8" localSheetId="4">'GMIC_2020-Annu_SCDPT5'!$J$27</definedName>
    <definedName name="SCDPT5_38BEGIN_9" localSheetId="4">'GMIC_2020-Annu_SCDPT5'!$K$27</definedName>
    <definedName name="SCDPT5_38ENDIN_10" localSheetId="4">'GMIC_2020-Annu_SCDPT5'!$L$78</definedName>
    <definedName name="SCDPT5_38ENDIN_11" localSheetId="4">'GMIC_2020-Annu_SCDPT5'!$M$78</definedName>
    <definedName name="SCDPT5_38ENDIN_12" localSheetId="4">'GMIC_2020-Annu_SCDPT5'!$N$78</definedName>
    <definedName name="SCDPT5_38ENDIN_13" localSheetId="4">'GMIC_2020-Annu_SCDPT5'!$O$78</definedName>
    <definedName name="SCDPT5_38ENDIN_14" localSheetId="4">'GMIC_2020-Annu_SCDPT5'!$P$78</definedName>
    <definedName name="SCDPT5_38ENDIN_15" localSheetId="4">'GMIC_2020-Annu_SCDPT5'!$Q$78</definedName>
    <definedName name="SCDPT5_38ENDIN_16" localSheetId="4">'GMIC_2020-Annu_SCDPT5'!$R$78</definedName>
    <definedName name="SCDPT5_38ENDIN_17" localSheetId="4">'GMIC_2020-Annu_SCDPT5'!$S$78</definedName>
    <definedName name="SCDPT5_38ENDIN_18" localSheetId="4">'GMIC_2020-Annu_SCDPT5'!$T$78</definedName>
    <definedName name="SCDPT5_38ENDIN_19" localSheetId="4">'GMIC_2020-Annu_SCDPT5'!$U$78</definedName>
    <definedName name="SCDPT5_38ENDIN_2" localSheetId="4">'GMIC_2020-Annu_SCDPT5'!$D$78</definedName>
    <definedName name="SCDPT5_38ENDIN_20" localSheetId="4">'GMIC_2020-Annu_SCDPT5'!$V$78</definedName>
    <definedName name="SCDPT5_38ENDIN_21" localSheetId="4">'GMIC_2020-Annu_SCDPT5'!$W$78</definedName>
    <definedName name="SCDPT5_38ENDIN_22" localSheetId="4">'GMIC_2020-Annu_SCDPT5'!$X$78</definedName>
    <definedName name="SCDPT5_38ENDIN_23" localSheetId="4">'GMIC_2020-Annu_SCDPT5'!$Y$78</definedName>
    <definedName name="SCDPT5_38ENDIN_24" localSheetId="4">'GMIC_2020-Annu_SCDPT5'!$Z$78</definedName>
    <definedName name="SCDPT5_38ENDIN_25" localSheetId="4">'GMIC_2020-Annu_SCDPT5'!$AA$78</definedName>
    <definedName name="SCDPT5_38ENDIN_26" localSheetId="4">'GMIC_2020-Annu_SCDPT5'!$AB$78</definedName>
    <definedName name="SCDPT5_38ENDIN_3" localSheetId="4">'GMIC_2020-Annu_SCDPT5'!$E$78</definedName>
    <definedName name="SCDPT5_38ENDIN_4" localSheetId="4">'GMIC_2020-Annu_SCDPT5'!$F$78</definedName>
    <definedName name="SCDPT5_38ENDIN_5" localSheetId="4">'GMIC_2020-Annu_SCDPT5'!$G$78</definedName>
    <definedName name="SCDPT5_38ENDIN_6" localSheetId="4">'GMIC_2020-Annu_SCDPT5'!$H$78</definedName>
    <definedName name="SCDPT5_38ENDIN_7" localSheetId="4">'GMIC_2020-Annu_SCDPT5'!$I$78</definedName>
    <definedName name="SCDPT5_38ENDIN_8" localSheetId="4">'GMIC_2020-Annu_SCDPT5'!$J$78</definedName>
    <definedName name="SCDPT5_38ENDIN_9" localSheetId="4">'GMIC_2020-Annu_SCDPT5'!$K$78</definedName>
    <definedName name="SCDPT5_4800000_Range" localSheetId="4">'GMIC_2020-Annu_SCDPT5'!$B$80:$AB$82</definedName>
    <definedName name="SCDPT5_4899999_10" localSheetId="4">'GMIC_2020-Annu_SCDPT5'!$L$83</definedName>
    <definedName name="SCDPT5_4899999_11" localSheetId="4">'GMIC_2020-Annu_SCDPT5'!$M$83</definedName>
    <definedName name="SCDPT5_4899999_12" localSheetId="4">'GMIC_2020-Annu_SCDPT5'!$N$83</definedName>
    <definedName name="SCDPT5_4899999_13" localSheetId="4">'GMIC_2020-Annu_SCDPT5'!$O$83</definedName>
    <definedName name="SCDPT5_4899999_14" localSheetId="4">'GMIC_2020-Annu_SCDPT5'!$P$83</definedName>
    <definedName name="SCDPT5_4899999_15" localSheetId="4">'GMIC_2020-Annu_SCDPT5'!$Q$83</definedName>
    <definedName name="SCDPT5_4899999_16" localSheetId="4">'GMIC_2020-Annu_SCDPT5'!$R$83</definedName>
    <definedName name="SCDPT5_4899999_17" localSheetId="4">'GMIC_2020-Annu_SCDPT5'!$S$83</definedName>
    <definedName name="SCDPT5_4899999_18" localSheetId="4">'GMIC_2020-Annu_SCDPT5'!$T$83</definedName>
    <definedName name="SCDPT5_4899999_19" localSheetId="4">'GMIC_2020-Annu_SCDPT5'!$U$83</definedName>
    <definedName name="SCDPT5_4899999_20" localSheetId="4">'GMIC_2020-Annu_SCDPT5'!$V$83</definedName>
    <definedName name="SCDPT5_4899999_21" localSheetId="4">'GMIC_2020-Annu_SCDPT5'!$W$83</definedName>
    <definedName name="SCDPT5_4899999_8" localSheetId="4">'GMIC_2020-Annu_SCDPT5'!$J$83</definedName>
    <definedName name="SCDPT5_4899999_9" localSheetId="4">'GMIC_2020-Annu_SCDPT5'!$K$83</definedName>
    <definedName name="SCDPT5_48BEGIN_1" localSheetId="4">'GMIC_2020-Annu_SCDPT5'!$C$80</definedName>
    <definedName name="SCDPT5_48BEGIN_10" localSheetId="4">'GMIC_2020-Annu_SCDPT5'!$L$80</definedName>
    <definedName name="SCDPT5_48BEGIN_11" localSheetId="4">'GMIC_2020-Annu_SCDPT5'!$M$80</definedName>
    <definedName name="SCDPT5_48BEGIN_12" localSheetId="4">'GMIC_2020-Annu_SCDPT5'!$N$80</definedName>
    <definedName name="SCDPT5_48BEGIN_13" localSheetId="4">'GMIC_2020-Annu_SCDPT5'!$O$80</definedName>
    <definedName name="SCDPT5_48BEGIN_14" localSheetId="4">'GMIC_2020-Annu_SCDPT5'!$P$80</definedName>
    <definedName name="SCDPT5_48BEGIN_15" localSheetId="4">'GMIC_2020-Annu_SCDPT5'!$Q$80</definedName>
    <definedName name="SCDPT5_48BEGIN_16" localSheetId="4">'GMIC_2020-Annu_SCDPT5'!$R$80</definedName>
    <definedName name="SCDPT5_48BEGIN_17" localSheetId="4">'GMIC_2020-Annu_SCDPT5'!$S$80</definedName>
    <definedName name="SCDPT5_48BEGIN_18" localSheetId="4">'GMIC_2020-Annu_SCDPT5'!$T$80</definedName>
    <definedName name="SCDPT5_48BEGIN_19" localSheetId="4">'GMIC_2020-Annu_SCDPT5'!$U$80</definedName>
    <definedName name="SCDPT5_48BEGIN_2" localSheetId="4">'GMIC_2020-Annu_SCDPT5'!$D$80</definedName>
    <definedName name="SCDPT5_48BEGIN_20" localSheetId="4">'GMIC_2020-Annu_SCDPT5'!$V$80</definedName>
    <definedName name="SCDPT5_48BEGIN_21" localSheetId="4">'GMIC_2020-Annu_SCDPT5'!$W$80</definedName>
    <definedName name="SCDPT5_48BEGIN_22" localSheetId="4">'GMIC_2020-Annu_SCDPT5'!$X$80</definedName>
    <definedName name="SCDPT5_48BEGIN_23" localSheetId="4">'GMIC_2020-Annu_SCDPT5'!$Y$80</definedName>
    <definedName name="SCDPT5_48BEGIN_24" localSheetId="4">'GMIC_2020-Annu_SCDPT5'!$Z$80</definedName>
    <definedName name="SCDPT5_48BEGIN_25" localSheetId="4">'GMIC_2020-Annu_SCDPT5'!$AA$80</definedName>
    <definedName name="SCDPT5_48BEGIN_26" localSheetId="4">'GMIC_2020-Annu_SCDPT5'!$AB$80</definedName>
    <definedName name="SCDPT5_48BEGIN_3" localSheetId="4">'GMIC_2020-Annu_SCDPT5'!$E$80</definedName>
    <definedName name="SCDPT5_48BEGIN_4" localSheetId="4">'GMIC_2020-Annu_SCDPT5'!$F$80</definedName>
    <definedName name="SCDPT5_48BEGIN_5" localSheetId="4">'GMIC_2020-Annu_SCDPT5'!$G$80</definedName>
    <definedName name="SCDPT5_48BEGIN_6" localSheetId="4">'GMIC_2020-Annu_SCDPT5'!$H$80</definedName>
    <definedName name="SCDPT5_48BEGIN_7" localSheetId="4">'GMIC_2020-Annu_SCDPT5'!$I$80</definedName>
    <definedName name="SCDPT5_48BEGIN_8" localSheetId="4">'GMIC_2020-Annu_SCDPT5'!$J$80</definedName>
    <definedName name="SCDPT5_48BEGIN_9" localSheetId="4">'GMIC_2020-Annu_SCDPT5'!$K$80</definedName>
    <definedName name="SCDPT5_48ENDIN_10" localSheetId="4">'GMIC_2020-Annu_SCDPT5'!$L$82</definedName>
    <definedName name="SCDPT5_48ENDIN_11" localSheetId="4">'GMIC_2020-Annu_SCDPT5'!$M$82</definedName>
    <definedName name="SCDPT5_48ENDIN_12" localSheetId="4">'GMIC_2020-Annu_SCDPT5'!$N$82</definedName>
    <definedName name="SCDPT5_48ENDIN_13" localSheetId="4">'GMIC_2020-Annu_SCDPT5'!$O$82</definedName>
    <definedName name="SCDPT5_48ENDIN_14" localSheetId="4">'GMIC_2020-Annu_SCDPT5'!$P$82</definedName>
    <definedName name="SCDPT5_48ENDIN_15" localSheetId="4">'GMIC_2020-Annu_SCDPT5'!$Q$82</definedName>
    <definedName name="SCDPT5_48ENDIN_16" localSheetId="4">'GMIC_2020-Annu_SCDPT5'!$R$82</definedName>
    <definedName name="SCDPT5_48ENDIN_17" localSheetId="4">'GMIC_2020-Annu_SCDPT5'!$S$82</definedName>
    <definedName name="SCDPT5_48ENDIN_18" localSheetId="4">'GMIC_2020-Annu_SCDPT5'!$T$82</definedName>
    <definedName name="SCDPT5_48ENDIN_19" localSheetId="4">'GMIC_2020-Annu_SCDPT5'!$U$82</definedName>
    <definedName name="SCDPT5_48ENDIN_2" localSheetId="4">'GMIC_2020-Annu_SCDPT5'!$D$82</definedName>
    <definedName name="SCDPT5_48ENDIN_20" localSheetId="4">'GMIC_2020-Annu_SCDPT5'!$V$82</definedName>
    <definedName name="SCDPT5_48ENDIN_21" localSheetId="4">'GMIC_2020-Annu_SCDPT5'!$W$82</definedName>
    <definedName name="SCDPT5_48ENDIN_22" localSheetId="4">'GMIC_2020-Annu_SCDPT5'!$X$82</definedName>
    <definedName name="SCDPT5_48ENDIN_23" localSheetId="4">'GMIC_2020-Annu_SCDPT5'!$Y$82</definedName>
    <definedName name="SCDPT5_48ENDIN_24" localSheetId="4">'GMIC_2020-Annu_SCDPT5'!$Z$82</definedName>
    <definedName name="SCDPT5_48ENDIN_25" localSheetId="4">'GMIC_2020-Annu_SCDPT5'!$AA$82</definedName>
    <definedName name="SCDPT5_48ENDIN_26" localSheetId="4">'GMIC_2020-Annu_SCDPT5'!$AB$82</definedName>
    <definedName name="SCDPT5_48ENDIN_3" localSheetId="4">'GMIC_2020-Annu_SCDPT5'!$E$82</definedName>
    <definedName name="SCDPT5_48ENDIN_4" localSheetId="4">'GMIC_2020-Annu_SCDPT5'!$F$82</definedName>
    <definedName name="SCDPT5_48ENDIN_5" localSheetId="4">'GMIC_2020-Annu_SCDPT5'!$G$82</definedName>
    <definedName name="SCDPT5_48ENDIN_6" localSheetId="4">'GMIC_2020-Annu_SCDPT5'!$H$82</definedName>
    <definedName name="SCDPT5_48ENDIN_7" localSheetId="4">'GMIC_2020-Annu_SCDPT5'!$I$82</definedName>
    <definedName name="SCDPT5_48ENDIN_8" localSheetId="4">'GMIC_2020-Annu_SCDPT5'!$J$82</definedName>
    <definedName name="SCDPT5_48ENDIN_9" localSheetId="4">'GMIC_2020-Annu_SCDPT5'!$K$82</definedName>
    <definedName name="SCDPT5_5500000_Range" localSheetId="4">'GMIC_2020-Annu_SCDPT5'!$B$84:$AB$86</definedName>
    <definedName name="SCDPT5_5599999_10" localSheetId="4">'GMIC_2020-Annu_SCDPT5'!$L$87</definedName>
    <definedName name="SCDPT5_5599999_11" localSheetId="4">'GMIC_2020-Annu_SCDPT5'!$M$87</definedName>
    <definedName name="SCDPT5_5599999_12" localSheetId="4">'GMIC_2020-Annu_SCDPT5'!$N$87</definedName>
    <definedName name="SCDPT5_5599999_13" localSheetId="4">'GMIC_2020-Annu_SCDPT5'!$O$87</definedName>
    <definedName name="SCDPT5_5599999_14" localSheetId="4">'GMIC_2020-Annu_SCDPT5'!$P$87</definedName>
    <definedName name="SCDPT5_5599999_15" localSheetId="4">'GMIC_2020-Annu_SCDPT5'!$Q$87</definedName>
    <definedName name="SCDPT5_5599999_16" localSheetId="4">'GMIC_2020-Annu_SCDPT5'!$R$87</definedName>
    <definedName name="SCDPT5_5599999_17" localSheetId="4">'GMIC_2020-Annu_SCDPT5'!$S$87</definedName>
    <definedName name="SCDPT5_5599999_18" localSheetId="4">'GMIC_2020-Annu_SCDPT5'!$T$87</definedName>
    <definedName name="SCDPT5_5599999_19" localSheetId="4">'GMIC_2020-Annu_SCDPT5'!$U$87</definedName>
    <definedName name="SCDPT5_5599999_20" localSheetId="4">'GMIC_2020-Annu_SCDPT5'!$V$87</definedName>
    <definedName name="SCDPT5_5599999_21" localSheetId="4">'GMIC_2020-Annu_SCDPT5'!$W$87</definedName>
    <definedName name="SCDPT5_5599999_8" localSheetId="4">'GMIC_2020-Annu_SCDPT5'!$J$87</definedName>
    <definedName name="SCDPT5_5599999_9" localSheetId="4">'GMIC_2020-Annu_SCDPT5'!$K$87</definedName>
    <definedName name="SCDPT5_55BEGIN_1" localSheetId="4">'GMIC_2020-Annu_SCDPT5'!$C$84</definedName>
    <definedName name="SCDPT5_55BEGIN_10" localSheetId="4">'GMIC_2020-Annu_SCDPT5'!$L$84</definedName>
    <definedName name="SCDPT5_55BEGIN_11" localSheetId="4">'GMIC_2020-Annu_SCDPT5'!$M$84</definedName>
    <definedName name="SCDPT5_55BEGIN_12" localSheetId="4">'GMIC_2020-Annu_SCDPT5'!$N$84</definedName>
    <definedName name="SCDPT5_55BEGIN_13" localSheetId="4">'GMIC_2020-Annu_SCDPT5'!$O$84</definedName>
    <definedName name="SCDPT5_55BEGIN_14" localSheetId="4">'GMIC_2020-Annu_SCDPT5'!$P$84</definedName>
    <definedName name="SCDPT5_55BEGIN_15" localSheetId="4">'GMIC_2020-Annu_SCDPT5'!$Q$84</definedName>
    <definedName name="SCDPT5_55BEGIN_16" localSheetId="4">'GMIC_2020-Annu_SCDPT5'!$R$84</definedName>
    <definedName name="SCDPT5_55BEGIN_17" localSheetId="4">'GMIC_2020-Annu_SCDPT5'!$S$84</definedName>
    <definedName name="SCDPT5_55BEGIN_18" localSheetId="4">'GMIC_2020-Annu_SCDPT5'!$T$84</definedName>
    <definedName name="SCDPT5_55BEGIN_19" localSheetId="4">'GMIC_2020-Annu_SCDPT5'!$U$84</definedName>
    <definedName name="SCDPT5_55BEGIN_2" localSheetId="4">'GMIC_2020-Annu_SCDPT5'!$D$84</definedName>
    <definedName name="SCDPT5_55BEGIN_20" localSheetId="4">'GMIC_2020-Annu_SCDPT5'!$V$84</definedName>
    <definedName name="SCDPT5_55BEGIN_21" localSheetId="4">'GMIC_2020-Annu_SCDPT5'!$W$84</definedName>
    <definedName name="SCDPT5_55BEGIN_22" localSheetId="4">'GMIC_2020-Annu_SCDPT5'!$X$84</definedName>
    <definedName name="SCDPT5_55BEGIN_23" localSheetId="4">'GMIC_2020-Annu_SCDPT5'!$Y$84</definedName>
    <definedName name="SCDPT5_55BEGIN_24" localSheetId="4">'GMIC_2020-Annu_SCDPT5'!$Z$84</definedName>
    <definedName name="SCDPT5_55BEGIN_25" localSheetId="4">'GMIC_2020-Annu_SCDPT5'!$AA$84</definedName>
    <definedName name="SCDPT5_55BEGIN_26" localSheetId="4">'GMIC_2020-Annu_SCDPT5'!$AB$84</definedName>
    <definedName name="SCDPT5_55BEGIN_3" localSheetId="4">'GMIC_2020-Annu_SCDPT5'!$E$84</definedName>
    <definedName name="SCDPT5_55BEGIN_4" localSheetId="4">'GMIC_2020-Annu_SCDPT5'!$F$84</definedName>
    <definedName name="SCDPT5_55BEGIN_5" localSheetId="4">'GMIC_2020-Annu_SCDPT5'!$G$84</definedName>
    <definedName name="SCDPT5_55BEGIN_6" localSheetId="4">'GMIC_2020-Annu_SCDPT5'!$H$84</definedName>
    <definedName name="SCDPT5_55BEGIN_7" localSheetId="4">'GMIC_2020-Annu_SCDPT5'!$I$84</definedName>
    <definedName name="SCDPT5_55BEGIN_8" localSheetId="4">'GMIC_2020-Annu_SCDPT5'!$J$84</definedName>
    <definedName name="SCDPT5_55BEGIN_9" localSheetId="4">'GMIC_2020-Annu_SCDPT5'!$K$84</definedName>
    <definedName name="SCDPT5_55ENDIN_10" localSheetId="4">'GMIC_2020-Annu_SCDPT5'!$L$86</definedName>
    <definedName name="SCDPT5_55ENDIN_11" localSheetId="4">'GMIC_2020-Annu_SCDPT5'!$M$86</definedName>
    <definedName name="SCDPT5_55ENDIN_12" localSheetId="4">'GMIC_2020-Annu_SCDPT5'!$N$86</definedName>
    <definedName name="SCDPT5_55ENDIN_13" localSheetId="4">'GMIC_2020-Annu_SCDPT5'!$O$86</definedName>
    <definedName name="SCDPT5_55ENDIN_14" localSheetId="4">'GMIC_2020-Annu_SCDPT5'!$P$86</definedName>
    <definedName name="SCDPT5_55ENDIN_15" localSheetId="4">'GMIC_2020-Annu_SCDPT5'!$Q$86</definedName>
    <definedName name="SCDPT5_55ENDIN_16" localSheetId="4">'GMIC_2020-Annu_SCDPT5'!$R$86</definedName>
    <definedName name="SCDPT5_55ENDIN_17" localSheetId="4">'GMIC_2020-Annu_SCDPT5'!$S$86</definedName>
    <definedName name="SCDPT5_55ENDIN_18" localSheetId="4">'GMIC_2020-Annu_SCDPT5'!$T$86</definedName>
    <definedName name="SCDPT5_55ENDIN_19" localSheetId="4">'GMIC_2020-Annu_SCDPT5'!$U$86</definedName>
    <definedName name="SCDPT5_55ENDIN_2" localSheetId="4">'GMIC_2020-Annu_SCDPT5'!$D$86</definedName>
    <definedName name="SCDPT5_55ENDIN_20" localSheetId="4">'GMIC_2020-Annu_SCDPT5'!$V$86</definedName>
    <definedName name="SCDPT5_55ENDIN_21" localSheetId="4">'GMIC_2020-Annu_SCDPT5'!$W$86</definedName>
    <definedName name="SCDPT5_55ENDIN_22" localSheetId="4">'GMIC_2020-Annu_SCDPT5'!$X$86</definedName>
    <definedName name="SCDPT5_55ENDIN_23" localSheetId="4">'GMIC_2020-Annu_SCDPT5'!$Y$86</definedName>
    <definedName name="SCDPT5_55ENDIN_24" localSheetId="4">'GMIC_2020-Annu_SCDPT5'!$Z$86</definedName>
    <definedName name="SCDPT5_55ENDIN_25" localSheetId="4">'GMIC_2020-Annu_SCDPT5'!$AA$86</definedName>
    <definedName name="SCDPT5_55ENDIN_26" localSheetId="4">'GMIC_2020-Annu_SCDPT5'!$AB$86</definedName>
    <definedName name="SCDPT5_55ENDIN_3" localSheetId="4">'GMIC_2020-Annu_SCDPT5'!$E$86</definedName>
    <definedName name="SCDPT5_55ENDIN_4" localSheetId="4">'GMIC_2020-Annu_SCDPT5'!$F$86</definedName>
    <definedName name="SCDPT5_55ENDIN_5" localSheetId="4">'GMIC_2020-Annu_SCDPT5'!$G$86</definedName>
    <definedName name="SCDPT5_55ENDIN_6" localSheetId="4">'GMIC_2020-Annu_SCDPT5'!$H$86</definedName>
    <definedName name="SCDPT5_55ENDIN_7" localSheetId="4">'GMIC_2020-Annu_SCDPT5'!$I$86</definedName>
    <definedName name="SCDPT5_55ENDIN_8" localSheetId="4">'GMIC_2020-Annu_SCDPT5'!$J$86</definedName>
    <definedName name="SCDPT5_55ENDIN_9" localSheetId="4">'GMIC_2020-Annu_SCDPT5'!$K$86</definedName>
    <definedName name="SCDPT5_8000000_Range" localSheetId="4">'GMIC_2020-Annu_SCDPT5'!$B$88:$AB$90</definedName>
    <definedName name="SCDPT5_8099999_10" localSheetId="4">'GMIC_2020-Annu_SCDPT5'!$L$91</definedName>
    <definedName name="SCDPT5_8099999_11" localSheetId="4">'GMIC_2020-Annu_SCDPT5'!$M$91</definedName>
    <definedName name="SCDPT5_8099999_12" localSheetId="4">'GMIC_2020-Annu_SCDPT5'!$N$91</definedName>
    <definedName name="SCDPT5_8099999_13" localSheetId="4">'GMIC_2020-Annu_SCDPT5'!$O$91</definedName>
    <definedName name="SCDPT5_8099999_14" localSheetId="4">'GMIC_2020-Annu_SCDPT5'!$P$91</definedName>
    <definedName name="SCDPT5_8099999_15" localSheetId="4">'GMIC_2020-Annu_SCDPT5'!$Q$91</definedName>
    <definedName name="SCDPT5_8099999_16" localSheetId="4">'GMIC_2020-Annu_SCDPT5'!$R$91</definedName>
    <definedName name="SCDPT5_8099999_17" localSheetId="4">'GMIC_2020-Annu_SCDPT5'!$S$91</definedName>
    <definedName name="SCDPT5_8099999_18" localSheetId="4">'GMIC_2020-Annu_SCDPT5'!$T$91</definedName>
    <definedName name="SCDPT5_8099999_19" localSheetId="4">'GMIC_2020-Annu_SCDPT5'!$U$91</definedName>
    <definedName name="SCDPT5_8099999_20" localSheetId="4">'GMIC_2020-Annu_SCDPT5'!$V$91</definedName>
    <definedName name="SCDPT5_8099999_21" localSheetId="4">'GMIC_2020-Annu_SCDPT5'!$W$91</definedName>
    <definedName name="SCDPT5_8099999_9" localSheetId="4">'GMIC_2020-Annu_SCDPT5'!$K$91</definedName>
    <definedName name="SCDPT5_80BEGIN_1" localSheetId="4">'GMIC_2020-Annu_SCDPT5'!$C$88</definedName>
    <definedName name="SCDPT5_80BEGIN_10" localSheetId="4">'GMIC_2020-Annu_SCDPT5'!$L$88</definedName>
    <definedName name="SCDPT5_80BEGIN_11" localSheetId="4">'GMIC_2020-Annu_SCDPT5'!$M$88</definedName>
    <definedName name="SCDPT5_80BEGIN_12" localSheetId="4">'GMIC_2020-Annu_SCDPT5'!$N$88</definedName>
    <definedName name="SCDPT5_80BEGIN_13" localSheetId="4">'GMIC_2020-Annu_SCDPT5'!$O$88</definedName>
    <definedName name="SCDPT5_80BEGIN_14" localSheetId="4">'GMIC_2020-Annu_SCDPT5'!$P$88</definedName>
    <definedName name="SCDPT5_80BEGIN_15" localSheetId="4">'GMIC_2020-Annu_SCDPT5'!$Q$88</definedName>
    <definedName name="SCDPT5_80BEGIN_16" localSheetId="4">'GMIC_2020-Annu_SCDPT5'!$R$88</definedName>
    <definedName name="SCDPT5_80BEGIN_17" localSheetId="4">'GMIC_2020-Annu_SCDPT5'!$S$88</definedName>
    <definedName name="SCDPT5_80BEGIN_18" localSheetId="4">'GMIC_2020-Annu_SCDPT5'!$T$88</definedName>
    <definedName name="SCDPT5_80BEGIN_19" localSheetId="4">'GMIC_2020-Annu_SCDPT5'!$U$88</definedName>
    <definedName name="SCDPT5_80BEGIN_2" localSheetId="4">'GMIC_2020-Annu_SCDPT5'!$D$88</definedName>
    <definedName name="SCDPT5_80BEGIN_20" localSheetId="4">'GMIC_2020-Annu_SCDPT5'!$V$88</definedName>
    <definedName name="SCDPT5_80BEGIN_21" localSheetId="4">'GMIC_2020-Annu_SCDPT5'!$W$88</definedName>
    <definedName name="SCDPT5_80BEGIN_22" localSheetId="4">'GMIC_2020-Annu_SCDPT5'!$X$88</definedName>
    <definedName name="SCDPT5_80BEGIN_23" localSheetId="4">'GMIC_2020-Annu_SCDPT5'!$Y$88</definedName>
    <definedName name="SCDPT5_80BEGIN_24" localSheetId="4">'GMIC_2020-Annu_SCDPT5'!$Z$88</definedName>
    <definedName name="SCDPT5_80BEGIN_25" localSheetId="4">'GMIC_2020-Annu_SCDPT5'!$AA$88</definedName>
    <definedName name="SCDPT5_80BEGIN_26" localSheetId="4">'GMIC_2020-Annu_SCDPT5'!$AB$88</definedName>
    <definedName name="SCDPT5_80BEGIN_3" localSheetId="4">'GMIC_2020-Annu_SCDPT5'!$E$88</definedName>
    <definedName name="SCDPT5_80BEGIN_4" localSheetId="4">'GMIC_2020-Annu_SCDPT5'!$F$88</definedName>
    <definedName name="SCDPT5_80BEGIN_5" localSheetId="4">'GMIC_2020-Annu_SCDPT5'!$G$88</definedName>
    <definedName name="SCDPT5_80BEGIN_6" localSheetId="4">'GMIC_2020-Annu_SCDPT5'!$H$88</definedName>
    <definedName name="SCDPT5_80BEGIN_7" localSheetId="4">'GMIC_2020-Annu_SCDPT5'!$I$88</definedName>
    <definedName name="SCDPT5_80BEGIN_8" localSheetId="4">'GMIC_2020-Annu_SCDPT5'!$J$88</definedName>
    <definedName name="SCDPT5_80BEGIN_9" localSheetId="4">'GMIC_2020-Annu_SCDPT5'!$K$88</definedName>
    <definedName name="SCDPT5_80ENDIN_10" localSheetId="4">'GMIC_2020-Annu_SCDPT5'!$L$90</definedName>
    <definedName name="SCDPT5_80ENDIN_11" localSheetId="4">'GMIC_2020-Annu_SCDPT5'!$M$90</definedName>
    <definedName name="SCDPT5_80ENDIN_12" localSheetId="4">'GMIC_2020-Annu_SCDPT5'!$N$90</definedName>
    <definedName name="SCDPT5_80ENDIN_13" localSheetId="4">'GMIC_2020-Annu_SCDPT5'!$O$90</definedName>
    <definedName name="SCDPT5_80ENDIN_14" localSheetId="4">'GMIC_2020-Annu_SCDPT5'!$P$90</definedName>
    <definedName name="SCDPT5_80ENDIN_15" localSheetId="4">'GMIC_2020-Annu_SCDPT5'!$Q$90</definedName>
    <definedName name="SCDPT5_80ENDIN_16" localSheetId="4">'GMIC_2020-Annu_SCDPT5'!$R$90</definedName>
    <definedName name="SCDPT5_80ENDIN_17" localSheetId="4">'GMIC_2020-Annu_SCDPT5'!$S$90</definedName>
    <definedName name="SCDPT5_80ENDIN_18" localSheetId="4">'GMIC_2020-Annu_SCDPT5'!$T$90</definedName>
    <definedName name="SCDPT5_80ENDIN_19" localSheetId="4">'GMIC_2020-Annu_SCDPT5'!$U$90</definedName>
    <definedName name="SCDPT5_80ENDIN_2" localSheetId="4">'GMIC_2020-Annu_SCDPT5'!$D$90</definedName>
    <definedName name="SCDPT5_80ENDIN_20" localSheetId="4">'GMIC_2020-Annu_SCDPT5'!$V$90</definedName>
    <definedName name="SCDPT5_80ENDIN_21" localSheetId="4">'GMIC_2020-Annu_SCDPT5'!$W$90</definedName>
    <definedName name="SCDPT5_80ENDIN_22" localSheetId="4">'GMIC_2020-Annu_SCDPT5'!$X$90</definedName>
    <definedName name="SCDPT5_80ENDIN_23" localSheetId="4">'GMIC_2020-Annu_SCDPT5'!$Y$90</definedName>
    <definedName name="SCDPT5_80ENDIN_24" localSheetId="4">'GMIC_2020-Annu_SCDPT5'!$Z$90</definedName>
    <definedName name="SCDPT5_80ENDIN_25" localSheetId="4">'GMIC_2020-Annu_SCDPT5'!$AA$90</definedName>
    <definedName name="SCDPT5_80ENDIN_26" localSheetId="4">'GMIC_2020-Annu_SCDPT5'!$AB$90</definedName>
    <definedName name="SCDPT5_80ENDIN_3" localSheetId="4">'GMIC_2020-Annu_SCDPT5'!$E$90</definedName>
    <definedName name="SCDPT5_80ENDIN_4" localSheetId="4">'GMIC_2020-Annu_SCDPT5'!$F$90</definedName>
    <definedName name="SCDPT5_80ENDIN_5" localSheetId="4">'GMIC_2020-Annu_SCDPT5'!$G$90</definedName>
    <definedName name="SCDPT5_80ENDIN_6" localSheetId="4">'GMIC_2020-Annu_SCDPT5'!$H$90</definedName>
    <definedName name="SCDPT5_80ENDIN_7" localSheetId="4">'GMIC_2020-Annu_SCDPT5'!$I$90</definedName>
    <definedName name="SCDPT5_80ENDIN_8" localSheetId="4">'GMIC_2020-Annu_SCDPT5'!$J$90</definedName>
    <definedName name="SCDPT5_80ENDIN_9" localSheetId="4">'GMIC_2020-Annu_SCDPT5'!$K$90</definedName>
    <definedName name="SCDPT5_8200000_Range" localSheetId="4">'GMIC_2020-Annu_SCDPT5'!$B$92:$AB$94</definedName>
    <definedName name="SCDPT5_8299999_10" localSheetId="4">'GMIC_2020-Annu_SCDPT5'!$L$95</definedName>
    <definedName name="SCDPT5_8299999_11" localSheetId="4">'GMIC_2020-Annu_SCDPT5'!$M$95</definedName>
    <definedName name="SCDPT5_8299999_12" localSheetId="4">'GMIC_2020-Annu_SCDPT5'!$N$95</definedName>
    <definedName name="SCDPT5_8299999_13" localSheetId="4">'GMIC_2020-Annu_SCDPT5'!$O$95</definedName>
    <definedName name="SCDPT5_8299999_14" localSheetId="4">'GMIC_2020-Annu_SCDPT5'!$P$95</definedName>
    <definedName name="SCDPT5_8299999_15" localSheetId="4">'GMIC_2020-Annu_SCDPT5'!$Q$95</definedName>
    <definedName name="SCDPT5_8299999_16" localSheetId="4">'GMIC_2020-Annu_SCDPT5'!$R$95</definedName>
    <definedName name="SCDPT5_8299999_17" localSheetId="4">'GMIC_2020-Annu_SCDPT5'!$S$95</definedName>
    <definedName name="SCDPT5_8299999_18" localSheetId="4">'GMIC_2020-Annu_SCDPT5'!$T$95</definedName>
    <definedName name="SCDPT5_8299999_19" localSheetId="4">'GMIC_2020-Annu_SCDPT5'!$U$95</definedName>
    <definedName name="SCDPT5_8299999_20" localSheetId="4">'GMIC_2020-Annu_SCDPT5'!$V$95</definedName>
    <definedName name="SCDPT5_8299999_21" localSheetId="4">'GMIC_2020-Annu_SCDPT5'!$W$95</definedName>
    <definedName name="SCDPT5_8299999_8" localSheetId="4">'GMIC_2020-Annu_SCDPT5'!$J$95</definedName>
    <definedName name="SCDPT5_8299999_9" localSheetId="4">'GMIC_2020-Annu_SCDPT5'!$K$95</definedName>
    <definedName name="SCDPT5_82BEGIN_1" localSheetId="4">'GMIC_2020-Annu_SCDPT5'!$C$92</definedName>
    <definedName name="SCDPT5_82BEGIN_10" localSheetId="4">'GMIC_2020-Annu_SCDPT5'!$L$92</definedName>
    <definedName name="SCDPT5_82BEGIN_11" localSheetId="4">'GMIC_2020-Annu_SCDPT5'!$M$92</definedName>
    <definedName name="SCDPT5_82BEGIN_12" localSheetId="4">'GMIC_2020-Annu_SCDPT5'!$N$92</definedName>
    <definedName name="SCDPT5_82BEGIN_13" localSheetId="4">'GMIC_2020-Annu_SCDPT5'!$O$92</definedName>
    <definedName name="SCDPT5_82BEGIN_14" localSheetId="4">'GMIC_2020-Annu_SCDPT5'!$P$92</definedName>
    <definedName name="SCDPT5_82BEGIN_15" localSheetId="4">'GMIC_2020-Annu_SCDPT5'!$Q$92</definedName>
    <definedName name="SCDPT5_82BEGIN_16" localSheetId="4">'GMIC_2020-Annu_SCDPT5'!$R$92</definedName>
    <definedName name="SCDPT5_82BEGIN_17" localSheetId="4">'GMIC_2020-Annu_SCDPT5'!$S$92</definedName>
    <definedName name="SCDPT5_82BEGIN_18" localSheetId="4">'GMIC_2020-Annu_SCDPT5'!$T$92</definedName>
    <definedName name="SCDPT5_82BEGIN_19" localSheetId="4">'GMIC_2020-Annu_SCDPT5'!$U$92</definedName>
    <definedName name="SCDPT5_82BEGIN_2" localSheetId="4">'GMIC_2020-Annu_SCDPT5'!$D$92</definedName>
    <definedName name="SCDPT5_82BEGIN_20" localSheetId="4">'GMIC_2020-Annu_SCDPT5'!$V$92</definedName>
    <definedName name="SCDPT5_82BEGIN_21" localSheetId="4">'GMIC_2020-Annu_SCDPT5'!$W$92</definedName>
    <definedName name="SCDPT5_82BEGIN_22" localSheetId="4">'GMIC_2020-Annu_SCDPT5'!$X$92</definedName>
    <definedName name="SCDPT5_82BEGIN_23" localSheetId="4">'GMIC_2020-Annu_SCDPT5'!$Y$92</definedName>
    <definedName name="SCDPT5_82BEGIN_24" localSheetId="4">'GMIC_2020-Annu_SCDPT5'!$Z$92</definedName>
    <definedName name="SCDPT5_82BEGIN_25" localSheetId="4">'GMIC_2020-Annu_SCDPT5'!$AA$92</definedName>
    <definedName name="SCDPT5_82BEGIN_26" localSheetId="4">'GMIC_2020-Annu_SCDPT5'!$AB$92</definedName>
    <definedName name="SCDPT5_82BEGIN_3" localSheetId="4">'GMIC_2020-Annu_SCDPT5'!$E$92</definedName>
    <definedName name="SCDPT5_82BEGIN_4" localSheetId="4">'GMIC_2020-Annu_SCDPT5'!$F$92</definedName>
    <definedName name="SCDPT5_82BEGIN_5" localSheetId="4">'GMIC_2020-Annu_SCDPT5'!$G$92</definedName>
    <definedName name="SCDPT5_82BEGIN_6" localSheetId="4">'GMIC_2020-Annu_SCDPT5'!$H$92</definedName>
    <definedName name="SCDPT5_82BEGIN_7" localSheetId="4">'GMIC_2020-Annu_SCDPT5'!$I$92</definedName>
    <definedName name="SCDPT5_82BEGIN_8" localSheetId="4">'GMIC_2020-Annu_SCDPT5'!$J$92</definedName>
    <definedName name="SCDPT5_82BEGIN_9" localSheetId="4">'GMIC_2020-Annu_SCDPT5'!$K$92</definedName>
    <definedName name="SCDPT5_82ENDIN_10" localSheetId="4">'GMIC_2020-Annu_SCDPT5'!$L$94</definedName>
    <definedName name="SCDPT5_82ENDIN_11" localSheetId="4">'GMIC_2020-Annu_SCDPT5'!$M$94</definedName>
    <definedName name="SCDPT5_82ENDIN_12" localSheetId="4">'GMIC_2020-Annu_SCDPT5'!$N$94</definedName>
    <definedName name="SCDPT5_82ENDIN_13" localSheetId="4">'GMIC_2020-Annu_SCDPT5'!$O$94</definedName>
    <definedName name="SCDPT5_82ENDIN_14" localSheetId="4">'GMIC_2020-Annu_SCDPT5'!$P$94</definedName>
    <definedName name="SCDPT5_82ENDIN_15" localSheetId="4">'GMIC_2020-Annu_SCDPT5'!$Q$94</definedName>
    <definedName name="SCDPT5_82ENDIN_16" localSheetId="4">'GMIC_2020-Annu_SCDPT5'!$R$94</definedName>
    <definedName name="SCDPT5_82ENDIN_17" localSheetId="4">'GMIC_2020-Annu_SCDPT5'!$S$94</definedName>
    <definedName name="SCDPT5_82ENDIN_18" localSheetId="4">'GMIC_2020-Annu_SCDPT5'!$T$94</definedName>
    <definedName name="SCDPT5_82ENDIN_19" localSheetId="4">'GMIC_2020-Annu_SCDPT5'!$U$94</definedName>
    <definedName name="SCDPT5_82ENDIN_2" localSheetId="4">'GMIC_2020-Annu_SCDPT5'!$D$94</definedName>
    <definedName name="SCDPT5_82ENDIN_20" localSheetId="4">'GMIC_2020-Annu_SCDPT5'!$V$94</definedName>
    <definedName name="SCDPT5_82ENDIN_21" localSheetId="4">'GMIC_2020-Annu_SCDPT5'!$W$94</definedName>
    <definedName name="SCDPT5_82ENDIN_22" localSheetId="4">'GMIC_2020-Annu_SCDPT5'!$X$94</definedName>
    <definedName name="SCDPT5_82ENDIN_23" localSheetId="4">'GMIC_2020-Annu_SCDPT5'!$Y$94</definedName>
    <definedName name="SCDPT5_82ENDIN_24" localSheetId="4">'GMIC_2020-Annu_SCDPT5'!$Z$94</definedName>
    <definedName name="SCDPT5_82ENDIN_25" localSheetId="4">'GMIC_2020-Annu_SCDPT5'!$AA$94</definedName>
    <definedName name="SCDPT5_82ENDIN_26" localSheetId="4">'GMIC_2020-Annu_SCDPT5'!$AB$94</definedName>
    <definedName name="SCDPT5_82ENDIN_3" localSheetId="4">'GMIC_2020-Annu_SCDPT5'!$E$94</definedName>
    <definedName name="SCDPT5_82ENDIN_4" localSheetId="4">'GMIC_2020-Annu_SCDPT5'!$F$94</definedName>
    <definedName name="SCDPT5_82ENDIN_5" localSheetId="4">'GMIC_2020-Annu_SCDPT5'!$G$94</definedName>
    <definedName name="SCDPT5_82ENDIN_6" localSheetId="4">'GMIC_2020-Annu_SCDPT5'!$H$94</definedName>
    <definedName name="SCDPT5_82ENDIN_7" localSheetId="4">'GMIC_2020-Annu_SCDPT5'!$I$94</definedName>
    <definedName name="SCDPT5_82ENDIN_8" localSheetId="4">'GMIC_2020-Annu_SCDPT5'!$J$94</definedName>
    <definedName name="SCDPT5_82ENDIN_9" localSheetId="4">'GMIC_2020-Annu_SCDPT5'!$K$94</definedName>
    <definedName name="SCDPT5_8399998_10" localSheetId="4">'GMIC_2020-Annu_SCDPT5'!$L$96</definedName>
    <definedName name="SCDPT5_8399998_11" localSheetId="4">'GMIC_2020-Annu_SCDPT5'!$M$96</definedName>
    <definedName name="SCDPT5_8399998_12" localSheetId="4">'GMIC_2020-Annu_SCDPT5'!$N$96</definedName>
    <definedName name="SCDPT5_8399998_13" localSheetId="4">'GMIC_2020-Annu_SCDPT5'!$O$96</definedName>
    <definedName name="SCDPT5_8399998_14" localSheetId="4">'GMIC_2020-Annu_SCDPT5'!$P$96</definedName>
    <definedName name="SCDPT5_8399998_15" localSheetId="4">'GMIC_2020-Annu_SCDPT5'!$Q$96</definedName>
    <definedName name="SCDPT5_8399998_16" localSheetId="4">'GMIC_2020-Annu_SCDPT5'!$R$96</definedName>
    <definedName name="SCDPT5_8399998_17" localSheetId="4">'GMIC_2020-Annu_SCDPT5'!$S$96</definedName>
    <definedName name="SCDPT5_8399998_18" localSheetId="4">'GMIC_2020-Annu_SCDPT5'!$T$96</definedName>
    <definedName name="SCDPT5_8399998_19" localSheetId="4">'GMIC_2020-Annu_SCDPT5'!$U$96</definedName>
    <definedName name="SCDPT5_8399998_20" localSheetId="4">'GMIC_2020-Annu_SCDPT5'!$V$96</definedName>
    <definedName name="SCDPT5_8399998_21" localSheetId="4">'GMIC_2020-Annu_SCDPT5'!$W$96</definedName>
    <definedName name="SCDPT5_8399998_8" localSheetId="4">'GMIC_2020-Annu_SCDPT5'!$J$96</definedName>
    <definedName name="SCDPT5_8399998_9" localSheetId="4">'GMIC_2020-Annu_SCDPT5'!$K$96</definedName>
    <definedName name="SCDPT5_8400000_Range" localSheetId="4">'GMIC_2020-Annu_SCDPT5'!$B$97:$AB$99</definedName>
    <definedName name="SCDPT5_8499999_10" localSheetId="4">'GMIC_2020-Annu_SCDPT5'!$L$100</definedName>
    <definedName name="SCDPT5_8499999_11" localSheetId="4">'GMIC_2020-Annu_SCDPT5'!$M$100</definedName>
    <definedName name="SCDPT5_8499999_12" localSheetId="4">'GMIC_2020-Annu_SCDPT5'!$N$100</definedName>
    <definedName name="SCDPT5_8499999_13" localSheetId="4">'GMIC_2020-Annu_SCDPT5'!$O$100</definedName>
    <definedName name="SCDPT5_8499999_14" localSheetId="4">'GMIC_2020-Annu_SCDPT5'!$P$100</definedName>
    <definedName name="SCDPT5_8499999_15" localSheetId="4">'GMIC_2020-Annu_SCDPT5'!$Q$100</definedName>
    <definedName name="SCDPT5_8499999_16" localSheetId="4">'GMIC_2020-Annu_SCDPT5'!$R$100</definedName>
    <definedName name="SCDPT5_8499999_17" localSheetId="4">'GMIC_2020-Annu_SCDPT5'!$S$100</definedName>
    <definedName name="SCDPT5_8499999_18" localSheetId="4">'GMIC_2020-Annu_SCDPT5'!$T$100</definedName>
    <definedName name="SCDPT5_8499999_19" localSheetId="4">'GMIC_2020-Annu_SCDPT5'!$U$100</definedName>
    <definedName name="SCDPT5_8499999_20" localSheetId="4">'GMIC_2020-Annu_SCDPT5'!$V$100</definedName>
    <definedName name="SCDPT5_8499999_21" localSheetId="4">'GMIC_2020-Annu_SCDPT5'!$W$100</definedName>
    <definedName name="SCDPT5_8499999_9" localSheetId="4">'GMIC_2020-Annu_SCDPT5'!$K$100</definedName>
    <definedName name="SCDPT5_84BEGIN_1" localSheetId="4">'GMIC_2020-Annu_SCDPT5'!$C$97</definedName>
    <definedName name="SCDPT5_84BEGIN_10" localSheetId="4">'GMIC_2020-Annu_SCDPT5'!$L$97</definedName>
    <definedName name="SCDPT5_84BEGIN_11" localSheetId="4">'GMIC_2020-Annu_SCDPT5'!$M$97</definedName>
    <definedName name="SCDPT5_84BEGIN_12" localSheetId="4">'GMIC_2020-Annu_SCDPT5'!$N$97</definedName>
    <definedName name="SCDPT5_84BEGIN_13" localSheetId="4">'GMIC_2020-Annu_SCDPT5'!$O$97</definedName>
    <definedName name="SCDPT5_84BEGIN_14" localSheetId="4">'GMIC_2020-Annu_SCDPT5'!$P$97</definedName>
    <definedName name="SCDPT5_84BEGIN_15" localSheetId="4">'GMIC_2020-Annu_SCDPT5'!$Q$97</definedName>
    <definedName name="SCDPT5_84BEGIN_16" localSheetId="4">'GMIC_2020-Annu_SCDPT5'!$R$97</definedName>
    <definedName name="SCDPT5_84BEGIN_17" localSheetId="4">'GMIC_2020-Annu_SCDPT5'!$S$97</definedName>
    <definedName name="SCDPT5_84BEGIN_18" localSheetId="4">'GMIC_2020-Annu_SCDPT5'!$T$97</definedName>
    <definedName name="SCDPT5_84BEGIN_19" localSheetId="4">'GMIC_2020-Annu_SCDPT5'!$U$97</definedName>
    <definedName name="SCDPT5_84BEGIN_2" localSheetId="4">'GMIC_2020-Annu_SCDPT5'!$D$97</definedName>
    <definedName name="SCDPT5_84BEGIN_20" localSheetId="4">'GMIC_2020-Annu_SCDPT5'!$V$97</definedName>
    <definedName name="SCDPT5_84BEGIN_21" localSheetId="4">'GMIC_2020-Annu_SCDPT5'!$W$97</definedName>
    <definedName name="SCDPT5_84BEGIN_22" localSheetId="4">'GMIC_2020-Annu_SCDPT5'!$X$97</definedName>
    <definedName name="SCDPT5_84BEGIN_23" localSheetId="4">'GMIC_2020-Annu_SCDPT5'!$Y$97</definedName>
    <definedName name="SCDPT5_84BEGIN_24" localSheetId="4">'GMIC_2020-Annu_SCDPT5'!$Z$97</definedName>
    <definedName name="SCDPT5_84BEGIN_25" localSheetId="4">'GMIC_2020-Annu_SCDPT5'!$AA$97</definedName>
    <definedName name="SCDPT5_84BEGIN_26" localSheetId="4">'GMIC_2020-Annu_SCDPT5'!$AB$97</definedName>
    <definedName name="SCDPT5_84BEGIN_3" localSheetId="4">'GMIC_2020-Annu_SCDPT5'!$E$97</definedName>
    <definedName name="SCDPT5_84BEGIN_4" localSheetId="4">'GMIC_2020-Annu_SCDPT5'!$F$97</definedName>
    <definedName name="SCDPT5_84BEGIN_5" localSheetId="4">'GMIC_2020-Annu_SCDPT5'!$G$97</definedName>
    <definedName name="SCDPT5_84BEGIN_6" localSheetId="4">'GMIC_2020-Annu_SCDPT5'!$H$97</definedName>
    <definedName name="SCDPT5_84BEGIN_7" localSheetId="4">'GMIC_2020-Annu_SCDPT5'!$I$97</definedName>
    <definedName name="SCDPT5_84BEGIN_8" localSheetId="4">'GMIC_2020-Annu_SCDPT5'!$J$97</definedName>
    <definedName name="SCDPT5_84BEGIN_9" localSheetId="4">'GMIC_2020-Annu_SCDPT5'!$K$97</definedName>
    <definedName name="SCDPT5_84ENDIN_10" localSheetId="4">'GMIC_2020-Annu_SCDPT5'!$L$99</definedName>
    <definedName name="SCDPT5_84ENDIN_11" localSheetId="4">'GMIC_2020-Annu_SCDPT5'!$M$99</definedName>
    <definedName name="SCDPT5_84ENDIN_12" localSheetId="4">'GMIC_2020-Annu_SCDPT5'!$N$99</definedName>
    <definedName name="SCDPT5_84ENDIN_13" localSheetId="4">'GMIC_2020-Annu_SCDPT5'!$O$99</definedName>
    <definedName name="SCDPT5_84ENDIN_14" localSheetId="4">'GMIC_2020-Annu_SCDPT5'!$P$99</definedName>
    <definedName name="SCDPT5_84ENDIN_15" localSheetId="4">'GMIC_2020-Annu_SCDPT5'!$Q$99</definedName>
    <definedName name="SCDPT5_84ENDIN_16" localSheetId="4">'GMIC_2020-Annu_SCDPT5'!$R$99</definedName>
    <definedName name="SCDPT5_84ENDIN_17" localSheetId="4">'GMIC_2020-Annu_SCDPT5'!$S$99</definedName>
    <definedName name="SCDPT5_84ENDIN_18" localSheetId="4">'GMIC_2020-Annu_SCDPT5'!$T$99</definedName>
    <definedName name="SCDPT5_84ENDIN_19" localSheetId="4">'GMIC_2020-Annu_SCDPT5'!$U$99</definedName>
    <definedName name="SCDPT5_84ENDIN_2" localSheetId="4">'GMIC_2020-Annu_SCDPT5'!$D$99</definedName>
    <definedName name="SCDPT5_84ENDIN_20" localSheetId="4">'GMIC_2020-Annu_SCDPT5'!$V$99</definedName>
    <definedName name="SCDPT5_84ENDIN_21" localSheetId="4">'GMIC_2020-Annu_SCDPT5'!$W$99</definedName>
    <definedName name="SCDPT5_84ENDIN_22" localSheetId="4">'GMIC_2020-Annu_SCDPT5'!$X$99</definedName>
    <definedName name="SCDPT5_84ENDIN_23" localSheetId="4">'GMIC_2020-Annu_SCDPT5'!$Y$99</definedName>
    <definedName name="SCDPT5_84ENDIN_24" localSheetId="4">'GMIC_2020-Annu_SCDPT5'!$Z$99</definedName>
    <definedName name="SCDPT5_84ENDIN_25" localSheetId="4">'GMIC_2020-Annu_SCDPT5'!$AA$99</definedName>
    <definedName name="SCDPT5_84ENDIN_26" localSheetId="4">'GMIC_2020-Annu_SCDPT5'!$AB$99</definedName>
    <definedName name="SCDPT5_84ENDIN_3" localSheetId="4">'GMIC_2020-Annu_SCDPT5'!$E$99</definedName>
    <definedName name="SCDPT5_84ENDIN_4" localSheetId="4">'GMIC_2020-Annu_SCDPT5'!$F$99</definedName>
    <definedName name="SCDPT5_84ENDIN_5" localSheetId="4">'GMIC_2020-Annu_SCDPT5'!$G$99</definedName>
    <definedName name="SCDPT5_84ENDIN_6" localSheetId="4">'GMIC_2020-Annu_SCDPT5'!$H$99</definedName>
    <definedName name="SCDPT5_84ENDIN_7" localSheetId="4">'GMIC_2020-Annu_SCDPT5'!$I$99</definedName>
    <definedName name="SCDPT5_84ENDIN_8" localSheetId="4">'GMIC_2020-Annu_SCDPT5'!$J$99</definedName>
    <definedName name="SCDPT5_84ENDIN_9" localSheetId="4">'GMIC_2020-Annu_SCDPT5'!$K$99</definedName>
    <definedName name="SCDPT5_8500000_Range" localSheetId="4">'GMIC_2020-Annu_SCDPT5'!$B$101:$AB$103</definedName>
    <definedName name="SCDPT5_8599999_10" localSheetId="4">'GMIC_2020-Annu_SCDPT5'!$L$104</definedName>
    <definedName name="SCDPT5_8599999_11" localSheetId="4">'GMIC_2020-Annu_SCDPT5'!$M$104</definedName>
    <definedName name="SCDPT5_8599999_12" localSheetId="4">'GMIC_2020-Annu_SCDPT5'!$N$104</definedName>
    <definedName name="SCDPT5_8599999_13" localSheetId="4">'GMIC_2020-Annu_SCDPT5'!$O$104</definedName>
    <definedName name="SCDPT5_8599999_14" localSheetId="4">'GMIC_2020-Annu_SCDPT5'!$P$104</definedName>
    <definedName name="SCDPT5_8599999_15" localSheetId="4">'GMIC_2020-Annu_SCDPT5'!$Q$104</definedName>
    <definedName name="SCDPT5_8599999_16" localSheetId="4">'GMIC_2020-Annu_SCDPT5'!$R$104</definedName>
    <definedName name="SCDPT5_8599999_17" localSheetId="4">'GMIC_2020-Annu_SCDPT5'!$S$104</definedName>
    <definedName name="SCDPT5_8599999_18" localSheetId="4">'GMIC_2020-Annu_SCDPT5'!$T$104</definedName>
    <definedName name="SCDPT5_8599999_19" localSheetId="4">'GMIC_2020-Annu_SCDPT5'!$U$104</definedName>
    <definedName name="SCDPT5_8599999_20" localSheetId="4">'GMIC_2020-Annu_SCDPT5'!$V$104</definedName>
    <definedName name="SCDPT5_8599999_21" localSheetId="4">'GMIC_2020-Annu_SCDPT5'!$W$104</definedName>
    <definedName name="SCDPT5_8599999_9" localSheetId="4">'GMIC_2020-Annu_SCDPT5'!$K$104</definedName>
    <definedName name="SCDPT5_85BEGIN_1" localSheetId="4">'GMIC_2020-Annu_SCDPT5'!$C$101</definedName>
    <definedName name="SCDPT5_85BEGIN_10" localSheetId="4">'GMIC_2020-Annu_SCDPT5'!$L$101</definedName>
    <definedName name="SCDPT5_85BEGIN_11" localSheetId="4">'GMIC_2020-Annu_SCDPT5'!$M$101</definedName>
    <definedName name="SCDPT5_85BEGIN_12" localSheetId="4">'GMIC_2020-Annu_SCDPT5'!$N$101</definedName>
    <definedName name="SCDPT5_85BEGIN_13" localSheetId="4">'GMIC_2020-Annu_SCDPT5'!$O$101</definedName>
    <definedName name="SCDPT5_85BEGIN_14" localSheetId="4">'GMIC_2020-Annu_SCDPT5'!$P$101</definedName>
    <definedName name="SCDPT5_85BEGIN_15" localSheetId="4">'GMIC_2020-Annu_SCDPT5'!$Q$101</definedName>
    <definedName name="SCDPT5_85BEGIN_16" localSheetId="4">'GMIC_2020-Annu_SCDPT5'!$R$101</definedName>
    <definedName name="SCDPT5_85BEGIN_17" localSheetId="4">'GMIC_2020-Annu_SCDPT5'!$S$101</definedName>
    <definedName name="SCDPT5_85BEGIN_18" localSheetId="4">'GMIC_2020-Annu_SCDPT5'!$T$101</definedName>
    <definedName name="SCDPT5_85BEGIN_19" localSheetId="4">'GMIC_2020-Annu_SCDPT5'!$U$101</definedName>
    <definedName name="SCDPT5_85BEGIN_2" localSheetId="4">'GMIC_2020-Annu_SCDPT5'!$D$101</definedName>
    <definedName name="SCDPT5_85BEGIN_20" localSheetId="4">'GMIC_2020-Annu_SCDPT5'!$V$101</definedName>
    <definedName name="SCDPT5_85BEGIN_21" localSheetId="4">'GMIC_2020-Annu_SCDPT5'!$W$101</definedName>
    <definedName name="SCDPT5_85BEGIN_22" localSheetId="4">'GMIC_2020-Annu_SCDPT5'!$X$101</definedName>
    <definedName name="SCDPT5_85BEGIN_23" localSheetId="4">'GMIC_2020-Annu_SCDPT5'!$Y$101</definedName>
    <definedName name="SCDPT5_85BEGIN_24" localSheetId="4">'GMIC_2020-Annu_SCDPT5'!$Z$101</definedName>
    <definedName name="SCDPT5_85BEGIN_25" localSheetId="4">'GMIC_2020-Annu_SCDPT5'!$AA$101</definedName>
    <definedName name="SCDPT5_85BEGIN_26" localSheetId="4">'GMIC_2020-Annu_SCDPT5'!$AB$101</definedName>
    <definedName name="SCDPT5_85BEGIN_3" localSheetId="4">'GMIC_2020-Annu_SCDPT5'!$E$101</definedName>
    <definedName name="SCDPT5_85BEGIN_4" localSheetId="4">'GMIC_2020-Annu_SCDPT5'!$F$101</definedName>
    <definedName name="SCDPT5_85BEGIN_5" localSheetId="4">'GMIC_2020-Annu_SCDPT5'!$G$101</definedName>
    <definedName name="SCDPT5_85BEGIN_6" localSheetId="4">'GMIC_2020-Annu_SCDPT5'!$H$101</definedName>
    <definedName name="SCDPT5_85BEGIN_7" localSheetId="4">'GMIC_2020-Annu_SCDPT5'!$I$101</definedName>
    <definedName name="SCDPT5_85BEGIN_8" localSheetId="4">'GMIC_2020-Annu_SCDPT5'!$J$101</definedName>
    <definedName name="SCDPT5_85BEGIN_9" localSheetId="4">'GMIC_2020-Annu_SCDPT5'!$K$101</definedName>
    <definedName name="SCDPT5_85ENDIN_10" localSheetId="4">'GMIC_2020-Annu_SCDPT5'!$L$103</definedName>
    <definedName name="SCDPT5_85ENDIN_11" localSheetId="4">'GMIC_2020-Annu_SCDPT5'!$M$103</definedName>
    <definedName name="SCDPT5_85ENDIN_12" localSheetId="4">'GMIC_2020-Annu_SCDPT5'!$N$103</definedName>
    <definedName name="SCDPT5_85ENDIN_13" localSheetId="4">'GMIC_2020-Annu_SCDPT5'!$O$103</definedName>
    <definedName name="SCDPT5_85ENDIN_14" localSheetId="4">'GMIC_2020-Annu_SCDPT5'!$P$103</definedName>
    <definedName name="SCDPT5_85ENDIN_15" localSheetId="4">'GMIC_2020-Annu_SCDPT5'!$Q$103</definedName>
    <definedName name="SCDPT5_85ENDIN_16" localSheetId="4">'GMIC_2020-Annu_SCDPT5'!$R$103</definedName>
    <definedName name="SCDPT5_85ENDIN_17" localSheetId="4">'GMIC_2020-Annu_SCDPT5'!$S$103</definedName>
    <definedName name="SCDPT5_85ENDIN_18" localSheetId="4">'GMIC_2020-Annu_SCDPT5'!$T$103</definedName>
    <definedName name="SCDPT5_85ENDIN_19" localSheetId="4">'GMIC_2020-Annu_SCDPT5'!$U$103</definedName>
    <definedName name="SCDPT5_85ENDIN_2" localSheetId="4">'GMIC_2020-Annu_SCDPT5'!$D$103</definedName>
    <definedName name="SCDPT5_85ENDIN_20" localSheetId="4">'GMIC_2020-Annu_SCDPT5'!$V$103</definedName>
    <definedName name="SCDPT5_85ENDIN_21" localSheetId="4">'GMIC_2020-Annu_SCDPT5'!$W$103</definedName>
    <definedName name="SCDPT5_85ENDIN_22" localSheetId="4">'GMIC_2020-Annu_SCDPT5'!$X$103</definedName>
    <definedName name="SCDPT5_85ENDIN_23" localSheetId="4">'GMIC_2020-Annu_SCDPT5'!$Y$103</definedName>
    <definedName name="SCDPT5_85ENDIN_24" localSheetId="4">'GMIC_2020-Annu_SCDPT5'!$Z$103</definedName>
    <definedName name="SCDPT5_85ENDIN_25" localSheetId="4">'GMIC_2020-Annu_SCDPT5'!$AA$103</definedName>
    <definedName name="SCDPT5_85ENDIN_26" localSheetId="4">'GMIC_2020-Annu_SCDPT5'!$AB$103</definedName>
    <definedName name="SCDPT5_85ENDIN_3" localSheetId="4">'GMIC_2020-Annu_SCDPT5'!$E$103</definedName>
    <definedName name="SCDPT5_85ENDIN_4" localSheetId="4">'GMIC_2020-Annu_SCDPT5'!$F$103</definedName>
    <definedName name="SCDPT5_85ENDIN_5" localSheetId="4">'GMIC_2020-Annu_SCDPT5'!$G$103</definedName>
    <definedName name="SCDPT5_85ENDIN_6" localSheetId="4">'GMIC_2020-Annu_SCDPT5'!$H$103</definedName>
    <definedName name="SCDPT5_85ENDIN_7" localSheetId="4">'GMIC_2020-Annu_SCDPT5'!$I$103</definedName>
    <definedName name="SCDPT5_85ENDIN_8" localSheetId="4">'GMIC_2020-Annu_SCDPT5'!$J$103</definedName>
    <definedName name="SCDPT5_85ENDIN_9" localSheetId="4">'GMIC_2020-Annu_SCDPT5'!$K$103</definedName>
    <definedName name="SCDPT5_8600000_Range" localSheetId="4">'GMIC_2020-Annu_SCDPT5'!$B$105:$AB$107</definedName>
    <definedName name="SCDPT5_8699999_10" localSheetId="4">'GMIC_2020-Annu_SCDPT5'!$L$108</definedName>
    <definedName name="SCDPT5_8699999_11" localSheetId="4">'GMIC_2020-Annu_SCDPT5'!$M$108</definedName>
    <definedName name="SCDPT5_8699999_12" localSheetId="4">'GMIC_2020-Annu_SCDPT5'!$N$108</definedName>
    <definedName name="SCDPT5_8699999_13" localSheetId="4">'GMIC_2020-Annu_SCDPT5'!$O$108</definedName>
    <definedName name="SCDPT5_8699999_14" localSheetId="4">'GMIC_2020-Annu_SCDPT5'!$P$108</definedName>
    <definedName name="SCDPT5_8699999_15" localSheetId="4">'GMIC_2020-Annu_SCDPT5'!$Q$108</definedName>
    <definedName name="SCDPT5_8699999_16" localSheetId="4">'GMIC_2020-Annu_SCDPT5'!$R$108</definedName>
    <definedName name="SCDPT5_8699999_17" localSheetId="4">'GMIC_2020-Annu_SCDPT5'!$S$108</definedName>
    <definedName name="SCDPT5_8699999_18" localSheetId="4">'GMIC_2020-Annu_SCDPT5'!$T$108</definedName>
    <definedName name="SCDPT5_8699999_19" localSheetId="4">'GMIC_2020-Annu_SCDPT5'!$U$108</definedName>
    <definedName name="SCDPT5_8699999_20" localSheetId="4">'GMIC_2020-Annu_SCDPT5'!$V$108</definedName>
    <definedName name="SCDPT5_8699999_21" localSheetId="4">'GMIC_2020-Annu_SCDPT5'!$W$108</definedName>
    <definedName name="SCDPT5_8699999_9" localSheetId="4">'GMIC_2020-Annu_SCDPT5'!$K$108</definedName>
    <definedName name="SCDPT5_86BEGIN_1" localSheetId="4">'GMIC_2020-Annu_SCDPT5'!$C$105</definedName>
    <definedName name="SCDPT5_86BEGIN_10" localSheetId="4">'GMIC_2020-Annu_SCDPT5'!$L$105</definedName>
    <definedName name="SCDPT5_86BEGIN_11" localSheetId="4">'GMIC_2020-Annu_SCDPT5'!$M$105</definedName>
    <definedName name="SCDPT5_86BEGIN_12" localSheetId="4">'GMIC_2020-Annu_SCDPT5'!$N$105</definedName>
    <definedName name="SCDPT5_86BEGIN_13" localSheetId="4">'GMIC_2020-Annu_SCDPT5'!$O$105</definedName>
    <definedName name="SCDPT5_86BEGIN_14" localSheetId="4">'GMIC_2020-Annu_SCDPT5'!$P$105</definedName>
    <definedName name="SCDPT5_86BEGIN_15" localSheetId="4">'GMIC_2020-Annu_SCDPT5'!$Q$105</definedName>
    <definedName name="SCDPT5_86BEGIN_16" localSheetId="4">'GMIC_2020-Annu_SCDPT5'!$R$105</definedName>
    <definedName name="SCDPT5_86BEGIN_17" localSheetId="4">'GMIC_2020-Annu_SCDPT5'!$S$105</definedName>
    <definedName name="SCDPT5_86BEGIN_18" localSheetId="4">'GMIC_2020-Annu_SCDPT5'!$T$105</definedName>
    <definedName name="SCDPT5_86BEGIN_19" localSheetId="4">'GMIC_2020-Annu_SCDPT5'!$U$105</definedName>
    <definedName name="SCDPT5_86BEGIN_2" localSheetId="4">'GMIC_2020-Annu_SCDPT5'!$D$105</definedName>
    <definedName name="SCDPT5_86BEGIN_20" localSheetId="4">'GMIC_2020-Annu_SCDPT5'!$V$105</definedName>
    <definedName name="SCDPT5_86BEGIN_21" localSheetId="4">'GMIC_2020-Annu_SCDPT5'!$W$105</definedName>
    <definedName name="SCDPT5_86BEGIN_22" localSheetId="4">'GMIC_2020-Annu_SCDPT5'!$X$105</definedName>
    <definedName name="SCDPT5_86BEGIN_23" localSheetId="4">'GMIC_2020-Annu_SCDPT5'!$Y$105</definedName>
    <definedName name="SCDPT5_86BEGIN_24" localSheetId="4">'GMIC_2020-Annu_SCDPT5'!$Z$105</definedName>
    <definedName name="SCDPT5_86BEGIN_25" localSheetId="4">'GMIC_2020-Annu_SCDPT5'!$AA$105</definedName>
    <definedName name="SCDPT5_86BEGIN_26" localSheetId="4">'GMIC_2020-Annu_SCDPT5'!$AB$105</definedName>
    <definedName name="SCDPT5_86BEGIN_3" localSheetId="4">'GMIC_2020-Annu_SCDPT5'!$E$105</definedName>
    <definedName name="SCDPT5_86BEGIN_4" localSheetId="4">'GMIC_2020-Annu_SCDPT5'!$F$105</definedName>
    <definedName name="SCDPT5_86BEGIN_5" localSheetId="4">'GMIC_2020-Annu_SCDPT5'!$G$105</definedName>
    <definedName name="SCDPT5_86BEGIN_6" localSheetId="4">'GMIC_2020-Annu_SCDPT5'!$H$105</definedName>
    <definedName name="SCDPT5_86BEGIN_7" localSheetId="4">'GMIC_2020-Annu_SCDPT5'!$I$105</definedName>
    <definedName name="SCDPT5_86BEGIN_8" localSheetId="4">'GMIC_2020-Annu_SCDPT5'!$J$105</definedName>
    <definedName name="SCDPT5_86BEGIN_9" localSheetId="4">'GMIC_2020-Annu_SCDPT5'!$K$105</definedName>
    <definedName name="SCDPT5_86ENDIN_10" localSheetId="4">'GMIC_2020-Annu_SCDPT5'!$L$107</definedName>
    <definedName name="SCDPT5_86ENDIN_11" localSheetId="4">'GMIC_2020-Annu_SCDPT5'!$M$107</definedName>
    <definedName name="SCDPT5_86ENDIN_12" localSheetId="4">'GMIC_2020-Annu_SCDPT5'!$N$107</definedName>
    <definedName name="SCDPT5_86ENDIN_13" localSheetId="4">'GMIC_2020-Annu_SCDPT5'!$O$107</definedName>
    <definedName name="SCDPT5_86ENDIN_14" localSheetId="4">'GMIC_2020-Annu_SCDPT5'!$P$107</definedName>
    <definedName name="SCDPT5_86ENDIN_15" localSheetId="4">'GMIC_2020-Annu_SCDPT5'!$Q$107</definedName>
    <definedName name="SCDPT5_86ENDIN_16" localSheetId="4">'GMIC_2020-Annu_SCDPT5'!$R$107</definedName>
    <definedName name="SCDPT5_86ENDIN_17" localSheetId="4">'GMIC_2020-Annu_SCDPT5'!$S$107</definedName>
    <definedName name="SCDPT5_86ENDIN_18" localSheetId="4">'GMIC_2020-Annu_SCDPT5'!$T$107</definedName>
    <definedName name="SCDPT5_86ENDIN_19" localSheetId="4">'GMIC_2020-Annu_SCDPT5'!$U$107</definedName>
    <definedName name="SCDPT5_86ENDIN_2" localSheetId="4">'GMIC_2020-Annu_SCDPT5'!$D$107</definedName>
    <definedName name="SCDPT5_86ENDIN_20" localSheetId="4">'GMIC_2020-Annu_SCDPT5'!$V$107</definedName>
    <definedName name="SCDPT5_86ENDIN_21" localSheetId="4">'GMIC_2020-Annu_SCDPT5'!$W$107</definedName>
    <definedName name="SCDPT5_86ENDIN_22" localSheetId="4">'GMIC_2020-Annu_SCDPT5'!$X$107</definedName>
    <definedName name="SCDPT5_86ENDIN_23" localSheetId="4">'GMIC_2020-Annu_SCDPT5'!$Y$107</definedName>
    <definedName name="SCDPT5_86ENDIN_24" localSheetId="4">'GMIC_2020-Annu_SCDPT5'!$Z$107</definedName>
    <definedName name="SCDPT5_86ENDIN_25" localSheetId="4">'GMIC_2020-Annu_SCDPT5'!$AA$107</definedName>
    <definedName name="SCDPT5_86ENDIN_26" localSheetId="4">'GMIC_2020-Annu_SCDPT5'!$AB$107</definedName>
    <definedName name="SCDPT5_86ENDIN_3" localSheetId="4">'GMIC_2020-Annu_SCDPT5'!$E$107</definedName>
    <definedName name="SCDPT5_86ENDIN_4" localSheetId="4">'GMIC_2020-Annu_SCDPT5'!$F$107</definedName>
    <definedName name="SCDPT5_86ENDIN_5" localSheetId="4">'GMIC_2020-Annu_SCDPT5'!$G$107</definedName>
    <definedName name="SCDPT5_86ENDIN_6" localSheetId="4">'GMIC_2020-Annu_SCDPT5'!$H$107</definedName>
    <definedName name="SCDPT5_86ENDIN_7" localSheetId="4">'GMIC_2020-Annu_SCDPT5'!$I$107</definedName>
    <definedName name="SCDPT5_86ENDIN_8" localSheetId="4">'GMIC_2020-Annu_SCDPT5'!$J$107</definedName>
    <definedName name="SCDPT5_86ENDIN_9" localSheetId="4">'GMIC_2020-Annu_SCDPT5'!$K$107</definedName>
    <definedName name="SCDPT5_8700000_Range" localSheetId="4">'GMIC_2020-Annu_SCDPT5'!$B$109:$AB$111</definedName>
    <definedName name="SCDPT5_8799999_10" localSheetId="4">'GMIC_2020-Annu_SCDPT5'!$L$112</definedName>
    <definedName name="SCDPT5_8799999_11" localSheetId="4">'GMIC_2020-Annu_SCDPT5'!$M$112</definedName>
    <definedName name="SCDPT5_8799999_12" localSheetId="4">'GMIC_2020-Annu_SCDPT5'!$N$112</definedName>
    <definedName name="SCDPT5_8799999_13" localSheetId="4">'GMIC_2020-Annu_SCDPT5'!$O$112</definedName>
    <definedName name="SCDPT5_8799999_14" localSheetId="4">'GMIC_2020-Annu_SCDPT5'!$P$112</definedName>
    <definedName name="SCDPT5_8799999_15" localSheetId="4">'GMIC_2020-Annu_SCDPT5'!$Q$112</definedName>
    <definedName name="SCDPT5_8799999_16" localSheetId="4">'GMIC_2020-Annu_SCDPT5'!$R$112</definedName>
    <definedName name="SCDPT5_8799999_17" localSheetId="4">'GMIC_2020-Annu_SCDPT5'!$S$112</definedName>
    <definedName name="SCDPT5_8799999_18" localSheetId="4">'GMIC_2020-Annu_SCDPT5'!$T$112</definedName>
    <definedName name="SCDPT5_8799999_19" localSheetId="4">'GMIC_2020-Annu_SCDPT5'!$U$112</definedName>
    <definedName name="SCDPT5_8799999_20" localSheetId="4">'GMIC_2020-Annu_SCDPT5'!$V$112</definedName>
    <definedName name="SCDPT5_8799999_21" localSheetId="4">'GMIC_2020-Annu_SCDPT5'!$W$112</definedName>
    <definedName name="SCDPT5_8799999_9" localSheetId="4">'GMIC_2020-Annu_SCDPT5'!$K$112</definedName>
    <definedName name="SCDPT5_87BEGIN_1" localSheetId="4">'GMIC_2020-Annu_SCDPT5'!$C$109</definedName>
    <definedName name="SCDPT5_87BEGIN_10" localSheetId="4">'GMIC_2020-Annu_SCDPT5'!$L$109</definedName>
    <definedName name="SCDPT5_87BEGIN_11" localSheetId="4">'GMIC_2020-Annu_SCDPT5'!$M$109</definedName>
    <definedName name="SCDPT5_87BEGIN_12" localSheetId="4">'GMIC_2020-Annu_SCDPT5'!$N$109</definedName>
    <definedName name="SCDPT5_87BEGIN_13" localSheetId="4">'GMIC_2020-Annu_SCDPT5'!$O$109</definedName>
    <definedName name="SCDPT5_87BEGIN_14" localSheetId="4">'GMIC_2020-Annu_SCDPT5'!$P$109</definedName>
    <definedName name="SCDPT5_87BEGIN_15" localSheetId="4">'GMIC_2020-Annu_SCDPT5'!$Q$109</definedName>
    <definedName name="SCDPT5_87BEGIN_16" localSheetId="4">'GMIC_2020-Annu_SCDPT5'!$R$109</definedName>
    <definedName name="SCDPT5_87BEGIN_17" localSheetId="4">'GMIC_2020-Annu_SCDPT5'!$S$109</definedName>
    <definedName name="SCDPT5_87BEGIN_18" localSheetId="4">'GMIC_2020-Annu_SCDPT5'!$T$109</definedName>
    <definedName name="SCDPT5_87BEGIN_19" localSheetId="4">'GMIC_2020-Annu_SCDPT5'!$U$109</definedName>
    <definedName name="SCDPT5_87BEGIN_2" localSheetId="4">'GMIC_2020-Annu_SCDPT5'!$D$109</definedName>
    <definedName name="SCDPT5_87BEGIN_20" localSheetId="4">'GMIC_2020-Annu_SCDPT5'!$V$109</definedName>
    <definedName name="SCDPT5_87BEGIN_21" localSheetId="4">'GMIC_2020-Annu_SCDPT5'!$W$109</definedName>
    <definedName name="SCDPT5_87BEGIN_22" localSheetId="4">'GMIC_2020-Annu_SCDPT5'!$X$109</definedName>
    <definedName name="SCDPT5_87BEGIN_23" localSheetId="4">'GMIC_2020-Annu_SCDPT5'!$Y$109</definedName>
    <definedName name="SCDPT5_87BEGIN_24" localSheetId="4">'GMIC_2020-Annu_SCDPT5'!$Z$109</definedName>
    <definedName name="SCDPT5_87BEGIN_25" localSheetId="4">'GMIC_2020-Annu_SCDPT5'!$AA$109</definedName>
    <definedName name="SCDPT5_87BEGIN_26" localSheetId="4">'GMIC_2020-Annu_SCDPT5'!$AB$109</definedName>
    <definedName name="SCDPT5_87BEGIN_3" localSheetId="4">'GMIC_2020-Annu_SCDPT5'!$E$109</definedName>
    <definedName name="SCDPT5_87BEGIN_4" localSheetId="4">'GMIC_2020-Annu_SCDPT5'!$F$109</definedName>
    <definedName name="SCDPT5_87BEGIN_5" localSheetId="4">'GMIC_2020-Annu_SCDPT5'!$G$109</definedName>
    <definedName name="SCDPT5_87BEGIN_6" localSheetId="4">'GMIC_2020-Annu_SCDPT5'!$H$109</definedName>
    <definedName name="SCDPT5_87BEGIN_7" localSheetId="4">'GMIC_2020-Annu_SCDPT5'!$I$109</definedName>
    <definedName name="SCDPT5_87BEGIN_8" localSheetId="4">'GMIC_2020-Annu_SCDPT5'!$J$109</definedName>
    <definedName name="SCDPT5_87BEGIN_9" localSheetId="4">'GMIC_2020-Annu_SCDPT5'!$K$109</definedName>
    <definedName name="SCDPT5_87ENDIN_10" localSheetId="4">'GMIC_2020-Annu_SCDPT5'!$L$111</definedName>
    <definedName name="SCDPT5_87ENDIN_11" localSheetId="4">'GMIC_2020-Annu_SCDPT5'!$M$111</definedName>
    <definedName name="SCDPT5_87ENDIN_12" localSheetId="4">'GMIC_2020-Annu_SCDPT5'!$N$111</definedName>
    <definedName name="SCDPT5_87ENDIN_13" localSheetId="4">'GMIC_2020-Annu_SCDPT5'!$O$111</definedName>
    <definedName name="SCDPT5_87ENDIN_14" localSheetId="4">'GMIC_2020-Annu_SCDPT5'!$P$111</definedName>
    <definedName name="SCDPT5_87ENDIN_15" localSheetId="4">'GMIC_2020-Annu_SCDPT5'!$Q$111</definedName>
    <definedName name="SCDPT5_87ENDIN_16" localSheetId="4">'GMIC_2020-Annu_SCDPT5'!$R$111</definedName>
    <definedName name="SCDPT5_87ENDIN_17" localSheetId="4">'GMIC_2020-Annu_SCDPT5'!$S$111</definedName>
    <definedName name="SCDPT5_87ENDIN_18" localSheetId="4">'GMIC_2020-Annu_SCDPT5'!$T$111</definedName>
    <definedName name="SCDPT5_87ENDIN_19" localSheetId="4">'GMIC_2020-Annu_SCDPT5'!$U$111</definedName>
    <definedName name="SCDPT5_87ENDIN_2" localSheetId="4">'GMIC_2020-Annu_SCDPT5'!$D$111</definedName>
    <definedName name="SCDPT5_87ENDIN_20" localSheetId="4">'GMIC_2020-Annu_SCDPT5'!$V$111</definedName>
    <definedName name="SCDPT5_87ENDIN_21" localSheetId="4">'GMIC_2020-Annu_SCDPT5'!$W$111</definedName>
    <definedName name="SCDPT5_87ENDIN_22" localSheetId="4">'GMIC_2020-Annu_SCDPT5'!$X$111</definedName>
    <definedName name="SCDPT5_87ENDIN_23" localSheetId="4">'GMIC_2020-Annu_SCDPT5'!$Y$111</definedName>
    <definedName name="SCDPT5_87ENDIN_24" localSheetId="4">'GMIC_2020-Annu_SCDPT5'!$Z$111</definedName>
    <definedName name="SCDPT5_87ENDIN_25" localSheetId="4">'GMIC_2020-Annu_SCDPT5'!$AA$111</definedName>
    <definedName name="SCDPT5_87ENDIN_26" localSheetId="4">'GMIC_2020-Annu_SCDPT5'!$AB$111</definedName>
    <definedName name="SCDPT5_87ENDIN_3" localSheetId="4">'GMIC_2020-Annu_SCDPT5'!$E$111</definedName>
    <definedName name="SCDPT5_87ENDIN_4" localSheetId="4">'GMIC_2020-Annu_SCDPT5'!$F$111</definedName>
    <definedName name="SCDPT5_87ENDIN_5" localSheetId="4">'GMIC_2020-Annu_SCDPT5'!$G$111</definedName>
    <definedName name="SCDPT5_87ENDIN_6" localSheetId="4">'GMIC_2020-Annu_SCDPT5'!$H$111</definedName>
    <definedName name="SCDPT5_87ENDIN_7" localSheetId="4">'GMIC_2020-Annu_SCDPT5'!$I$111</definedName>
    <definedName name="SCDPT5_87ENDIN_8" localSheetId="4">'GMIC_2020-Annu_SCDPT5'!$J$111</definedName>
    <definedName name="SCDPT5_87ENDIN_9" localSheetId="4">'GMIC_2020-Annu_SCDPT5'!$K$111</definedName>
    <definedName name="SCDPT5_8999998_10" localSheetId="4">'GMIC_2020-Annu_SCDPT5'!$L$113</definedName>
    <definedName name="SCDPT5_8999998_11" localSheetId="4">'GMIC_2020-Annu_SCDPT5'!$M$113</definedName>
    <definedName name="SCDPT5_8999998_12" localSheetId="4">'GMIC_2020-Annu_SCDPT5'!$N$113</definedName>
    <definedName name="SCDPT5_8999998_13" localSheetId="4">'GMIC_2020-Annu_SCDPT5'!$O$113</definedName>
    <definedName name="SCDPT5_8999998_14" localSheetId="4">'GMIC_2020-Annu_SCDPT5'!$P$113</definedName>
    <definedName name="SCDPT5_8999998_15" localSheetId="4">'GMIC_2020-Annu_SCDPT5'!$Q$113</definedName>
    <definedName name="SCDPT5_8999998_16" localSheetId="4">'GMIC_2020-Annu_SCDPT5'!$R$113</definedName>
    <definedName name="SCDPT5_8999998_17" localSheetId="4">'GMIC_2020-Annu_SCDPT5'!$S$113</definedName>
    <definedName name="SCDPT5_8999998_18" localSheetId="4">'GMIC_2020-Annu_SCDPT5'!$T$113</definedName>
    <definedName name="SCDPT5_8999998_19" localSheetId="4">'GMIC_2020-Annu_SCDPT5'!$U$113</definedName>
    <definedName name="SCDPT5_8999998_20" localSheetId="4">'GMIC_2020-Annu_SCDPT5'!$V$113</definedName>
    <definedName name="SCDPT5_8999998_21" localSheetId="4">'GMIC_2020-Annu_SCDPT5'!$W$113</definedName>
    <definedName name="SCDPT5_8999998_9" localSheetId="4">'GMIC_2020-Annu_SCDPT5'!$K$113</definedName>
    <definedName name="SCDPT5_9000000_Range" localSheetId="4">'GMIC_2020-Annu_SCDPT5'!$B$114:$AB$116</definedName>
    <definedName name="SCDPT5_9099999_10" localSheetId="4">'GMIC_2020-Annu_SCDPT5'!$L$117</definedName>
    <definedName name="SCDPT5_9099999_11" localSheetId="4">'GMIC_2020-Annu_SCDPT5'!$M$117</definedName>
    <definedName name="SCDPT5_9099999_12" localSheetId="4">'GMIC_2020-Annu_SCDPT5'!$N$117</definedName>
    <definedName name="SCDPT5_9099999_13" localSheetId="4">'GMIC_2020-Annu_SCDPT5'!$O$117</definedName>
    <definedName name="SCDPT5_9099999_14" localSheetId="4">'GMIC_2020-Annu_SCDPT5'!$P$117</definedName>
    <definedName name="SCDPT5_9099999_15" localSheetId="4">'GMIC_2020-Annu_SCDPT5'!$Q$117</definedName>
    <definedName name="SCDPT5_9099999_16" localSheetId="4">'GMIC_2020-Annu_SCDPT5'!$R$117</definedName>
    <definedName name="SCDPT5_9099999_17" localSheetId="4">'GMIC_2020-Annu_SCDPT5'!$S$117</definedName>
    <definedName name="SCDPT5_9099999_18" localSheetId="4">'GMIC_2020-Annu_SCDPT5'!$T$117</definedName>
    <definedName name="SCDPT5_9099999_19" localSheetId="4">'GMIC_2020-Annu_SCDPT5'!$U$117</definedName>
    <definedName name="SCDPT5_9099999_20" localSheetId="4">'GMIC_2020-Annu_SCDPT5'!$V$117</definedName>
    <definedName name="SCDPT5_9099999_21" localSheetId="4">'GMIC_2020-Annu_SCDPT5'!$W$117</definedName>
    <definedName name="SCDPT5_9099999_9" localSheetId="4">'GMIC_2020-Annu_SCDPT5'!$K$117</definedName>
    <definedName name="SCDPT5_90BEGIN_1" localSheetId="4">'GMIC_2020-Annu_SCDPT5'!$C$114</definedName>
    <definedName name="SCDPT5_90BEGIN_10" localSheetId="4">'GMIC_2020-Annu_SCDPT5'!$L$114</definedName>
    <definedName name="SCDPT5_90BEGIN_11" localSheetId="4">'GMIC_2020-Annu_SCDPT5'!$M$114</definedName>
    <definedName name="SCDPT5_90BEGIN_12" localSheetId="4">'GMIC_2020-Annu_SCDPT5'!$N$114</definedName>
    <definedName name="SCDPT5_90BEGIN_13" localSheetId="4">'GMIC_2020-Annu_SCDPT5'!$O$114</definedName>
    <definedName name="SCDPT5_90BEGIN_14" localSheetId="4">'GMIC_2020-Annu_SCDPT5'!$P$114</definedName>
    <definedName name="SCDPT5_90BEGIN_15" localSheetId="4">'GMIC_2020-Annu_SCDPT5'!$Q$114</definedName>
    <definedName name="SCDPT5_90BEGIN_16" localSheetId="4">'GMIC_2020-Annu_SCDPT5'!$R$114</definedName>
    <definedName name="SCDPT5_90BEGIN_17" localSheetId="4">'GMIC_2020-Annu_SCDPT5'!$S$114</definedName>
    <definedName name="SCDPT5_90BEGIN_18" localSheetId="4">'GMIC_2020-Annu_SCDPT5'!$T$114</definedName>
    <definedName name="SCDPT5_90BEGIN_19" localSheetId="4">'GMIC_2020-Annu_SCDPT5'!$U$114</definedName>
    <definedName name="SCDPT5_90BEGIN_2" localSheetId="4">'GMIC_2020-Annu_SCDPT5'!$D$114</definedName>
    <definedName name="SCDPT5_90BEGIN_20" localSheetId="4">'GMIC_2020-Annu_SCDPT5'!$V$114</definedName>
    <definedName name="SCDPT5_90BEGIN_21" localSheetId="4">'GMIC_2020-Annu_SCDPT5'!$W$114</definedName>
    <definedName name="SCDPT5_90BEGIN_22" localSheetId="4">'GMIC_2020-Annu_SCDPT5'!$X$114</definedName>
    <definedName name="SCDPT5_90BEGIN_23" localSheetId="4">'GMIC_2020-Annu_SCDPT5'!$Y$114</definedName>
    <definedName name="SCDPT5_90BEGIN_24" localSheetId="4">'GMIC_2020-Annu_SCDPT5'!$Z$114</definedName>
    <definedName name="SCDPT5_90BEGIN_25" localSheetId="4">'GMIC_2020-Annu_SCDPT5'!$AA$114</definedName>
    <definedName name="SCDPT5_90BEGIN_26" localSheetId="4">'GMIC_2020-Annu_SCDPT5'!$AB$114</definedName>
    <definedName name="SCDPT5_90BEGIN_3" localSheetId="4">'GMIC_2020-Annu_SCDPT5'!$E$114</definedName>
    <definedName name="SCDPT5_90BEGIN_4" localSheetId="4">'GMIC_2020-Annu_SCDPT5'!$F$114</definedName>
    <definedName name="SCDPT5_90BEGIN_5" localSheetId="4">'GMIC_2020-Annu_SCDPT5'!$G$114</definedName>
    <definedName name="SCDPT5_90BEGIN_6" localSheetId="4">'GMIC_2020-Annu_SCDPT5'!$H$114</definedName>
    <definedName name="SCDPT5_90BEGIN_7" localSheetId="4">'GMIC_2020-Annu_SCDPT5'!$I$114</definedName>
    <definedName name="SCDPT5_90BEGIN_8" localSheetId="4">'GMIC_2020-Annu_SCDPT5'!$J$114</definedName>
    <definedName name="SCDPT5_90BEGIN_9" localSheetId="4">'GMIC_2020-Annu_SCDPT5'!$K$114</definedName>
    <definedName name="SCDPT5_90ENDIN_10" localSheetId="4">'GMIC_2020-Annu_SCDPT5'!$L$116</definedName>
    <definedName name="SCDPT5_90ENDIN_11" localSheetId="4">'GMIC_2020-Annu_SCDPT5'!$M$116</definedName>
    <definedName name="SCDPT5_90ENDIN_12" localSheetId="4">'GMIC_2020-Annu_SCDPT5'!$N$116</definedName>
    <definedName name="SCDPT5_90ENDIN_13" localSheetId="4">'GMIC_2020-Annu_SCDPT5'!$O$116</definedName>
    <definedName name="SCDPT5_90ENDIN_14" localSheetId="4">'GMIC_2020-Annu_SCDPT5'!$P$116</definedName>
    <definedName name="SCDPT5_90ENDIN_15" localSheetId="4">'GMIC_2020-Annu_SCDPT5'!$Q$116</definedName>
    <definedName name="SCDPT5_90ENDIN_16" localSheetId="4">'GMIC_2020-Annu_SCDPT5'!$R$116</definedName>
    <definedName name="SCDPT5_90ENDIN_17" localSheetId="4">'GMIC_2020-Annu_SCDPT5'!$S$116</definedName>
    <definedName name="SCDPT5_90ENDIN_18" localSheetId="4">'GMIC_2020-Annu_SCDPT5'!$T$116</definedName>
    <definedName name="SCDPT5_90ENDIN_19" localSheetId="4">'GMIC_2020-Annu_SCDPT5'!$U$116</definedName>
    <definedName name="SCDPT5_90ENDIN_2" localSheetId="4">'GMIC_2020-Annu_SCDPT5'!$D$116</definedName>
    <definedName name="SCDPT5_90ENDIN_20" localSheetId="4">'GMIC_2020-Annu_SCDPT5'!$V$116</definedName>
    <definedName name="SCDPT5_90ENDIN_21" localSheetId="4">'GMIC_2020-Annu_SCDPT5'!$W$116</definedName>
    <definedName name="SCDPT5_90ENDIN_22" localSheetId="4">'GMIC_2020-Annu_SCDPT5'!$X$116</definedName>
    <definedName name="SCDPT5_90ENDIN_23" localSheetId="4">'GMIC_2020-Annu_SCDPT5'!$Y$116</definedName>
    <definedName name="SCDPT5_90ENDIN_24" localSheetId="4">'GMIC_2020-Annu_SCDPT5'!$Z$116</definedName>
    <definedName name="SCDPT5_90ENDIN_25" localSheetId="4">'GMIC_2020-Annu_SCDPT5'!$AA$116</definedName>
    <definedName name="SCDPT5_90ENDIN_26" localSheetId="4">'GMIC_2020-Annu_SCDPT5'!$AB$116</definedName>
    <definedName name="SCDPT5_90ENDIN_3" localSheetId="4">'GMIC_2020-Annu_SCDPT5'!$E$116</definedName>
    <definedName name="SCDPT5_90ENDIN_4" localSheetId="4">'GMIC_2020-Annu_SCDPT5'!$F$116</definedName>
    <definedName name="SCDPT5_90ENDIN_5" localSheetId="4">'GMIC_2020-Annu_SCDPT5'!$G$116</definedName>
    <definedName name="SCDPT5_90ENDIN_6" localSheetId="4">'GMIC_2020-Annu_SCDPT5'!$H$116</definedName>
    <definedName name="SCDPT5_90ENDIN_7" localSheetId="4">'GMIC_2020-Annu_SCDPT5'!$I$116</definedName>
    <definedName name="SCDPT5_90ENDIN_8" localSheetId="4">'GMIC_2020-Annu_SCDPT5'!$J$116</definedName>
    <definedName name="SCDPT5_90ENDIN_9" localSheetId="4">'GMIC_2020-Annu_SCDPT5'!$K$116</definedName>
    <definedName name="SCDPT5_9100000_Range" localSheetId="4">'GMIC_2020-Annu_SCDPT5'!$B$118:$AB$120</definedName>
    <definedName name="SCDPT5_9199999_10" localSheetId="4">'GMIC_2020-Annu_SCDPT5'!$L$121</definedName>
    <definedName name="SCDPT5_9199999_11" localSheetId="4">'GMIC_2020-Annu_SCDPT5'!$M$121</definedName>
    <definedName name="SCDPT5_9199999_12" localSheetId="4">'GMIC_2020-Annu_SCDPT5'!$N$121</definedName>
    <definedName name="SCDPT5_9199999_13" localSheetId="4">'GMIC_2020-Annu_SCDPT5'!$O$121</definedName>
    <definedName name="SCDPT5_9199999_14" localSheetId="4">'GMIC_2020-Annu_SCDPT5'!$P$121</definedName>
    <definedName name="SCDPT5_9199999_15" localSheetId="4">'GMIC_2020-Annu_SCDPT5'!$Q$121</definedName>
    <definedName name="SCDPT5_9199999_16" localSheetId="4">'GMIC_2020-Annu_SCDPT5'!$R$121</definedName>
    <definedName name="SCDPT5_9199999_17" localSheetId="4">'GMIC_2020-Annu_SCDPT5'!$S$121</definedName>
    <definedName name="SCDPT5_9199999_18" localSheetId="4">'GMIC_2020-Annu_SCDPT5'!$T$121</definedName>
    <definedName name="SCDPT5_9199999_19" localSheetId="4">'GMIC_2020-Annu_SCDPT5'!$U$121</definedName>
    <definedName name="SCDPT5_9199999_20" localSheetId="4">'GMIC_2020-Annu_SCDPT5'!$V$121</definedName>
    <definedName name="SCDPT5_9199999_21" localSheetId="4">'GMIC_2020-Annu_SCDPT5'!$W$121</definedName>
    <definedName name="SCDPT5_9199999_9" localSheetId="4">'GMIC_2020-Annu_SCDPT5'!$K$121</definedName>
    <definedName name="SCDPT5_91BEGIN_1" localSheetId="4">'GMIC_2020-Annu_SCDPT5'!$C$118</definedName>
    <definedName name="SCDPT5_91BEGIN_10" localSheetId="4">'GMIC_2020-Annu_SCDPT5'!$L$118</definedName>
    <definedName name="SCDPT5_91BEGIN_11" localSheetId="4">'GMIC_2020-Annu_SCDPT5'!$M$118</definedName>
    <definedName name="SCDPT5_91BEGIN_12" localSheetId="4">'GMIC_2020-Annu_SCDPT5'!$N$118</definedName>
    <definedName name="SCDPT5_91BEGIN_13" localSheetId="4">'GMIC_2020-Annu_SCDPT5'!$O$118</definedName>
    <definedName name="SCDPT5_91BEGIN_14" localSheetId="4">'GMIC_2020-Annu_SCDPT5'!$P$118</definedName>
    <definedName name="SCDPT5_91BEGIN_15" localSheetId="4">'GMIC_2020-Annu_SCDPT5'!$Q$118</definedName>
    <definedName name="SCDPT5_91BEGIN_16" localSheetId="4">'GMIC_2020-Annu_SCDPT5'!$R$118</definedName>
    <definedName name="SCDPT5_91BEGIN_17" localSheetId="4">'GMIC_2020-Annu_SCDPT5'!$S$118</definedName>
    <definedName name="SCDPT5_91BEGIN_18" localSheetId="4">'GMIC_2020-Annu_SCDPT5'!$T$118</definedName>
    <definedName name="SCDPT5_91BEGIN_19" localSheetId="4">'GMIC_2020-Annu_SCDPT5'!$U$118</definedName>
    <definedName name="SCDPT5_91BEGIN_2" localSheetId="4">'GMIC_2020-Annu_SCDPT5'!$D$118</definedName>
    <definedName name="SCDPT5_91BEGIN_20" localSheetId="4">'GMIC_2020-Annu_SCDPT5'!$V$118</definedName>
    <definedName name="SCDPT5_91BEGIN_21" localSheetId="4">'GMIC_2020-Annu_SCDPT5'!$W$118</definedName>
    <definedName name="SCDPT5_91BEGIN_22" localSheetId="4">'GMIC_2020-Annu_SCDPT5'!$X$118</definedName>
    <definedName name="SCDPT5_91BEGIN_23" localSheetId="4">'GMIC_2020-Annu_SCDPT5'!$Y$118</definedName>
    <definedName name="SCDPT5_91BEGIN_24" localSheetId="4">'GMIC_2020-Annu_SCDPT5'!$Z$118</definedName>
    <definedName name="SCDPT5_91BEGIN_25" localSheetId="4">'GMIC_2020-Annu_SCDPT5'!$AA$118</definedName>
    <definedName name="SCDPT5_91BEGIN_26" localSheetId="4">'GMIC_2020-Annu_SCDPT5'!$AB$118</definedName>
    <definedName name="SCDPT5_91BEGIN_3" localSheetId="4">'GMIC_2020-Annu_SCDPT5'!$E$118</definedName>
    <definedName name="SCDPT5_91BEGIN_4" localSheetId="4">'GMIC_2020-Annu_SCDPT5'!$F$118</definedName>
    <definedName name="SCDPT5_91BEGIN_5" localSheetId="4">'GMIC_2020-Annu_SCDPT5'!$G$118</definedName>
    <definedName name="SCDPT5_91BEGIN_6" localSheetId="4">'GMIC_2020-Annu_SCDPT5'!$H$118</definedName>
    <definedName name="SCDPT5_91BEGIN_7" localSheetId="4">'GMIC_2020-Annu_SCDPT5'!$I$118</definedName>
    <definedName name="SCDPT5_91BEGIN_8" localSheetId="4">'GMIC_2020-Annu_SCDPT5'!$J$118</definedName>
    <definedName name="SCDPT5_91BEGIN_9" localSheetId="4">'GMIC_2020-Annu_SCDPT5'!$K$118</definedName>
    <definedName name="SCDPT5_91ENDIN_10" localSheetId="4">'GMIC_2020-Annu_SCDPT5'!$L$120</definedName>
    <definedName name="SCDPT5_91ENDIN_11" localSheetId="4">'GMIC_2020-Annu_SCDPT5'!$M$120</definedName>
    <definedName name="SCDPT5_91ENDIN_12" localSheetId="4">'GMIC_2020-Annu_SCDPT5'!$N$120</definedName>
    <definedName name="SCDPT5_91ENDIN_13" localSheetId="4">'GMIC_2020-Annu_SCDPT5'!$O$120</definedName>
    <definedName name="SCDPT5_91ENDIN_14" localSheetId="4">'GMIC_2020-Annu_SCDPT5'!$P$120</definedName>
    <definedName name="SCDPT5_91ENDIN_15" localSheetId="4">'GMIC_2020-Annu_SCDPT5'!$Q$120</definedName>
    <definedName name="SCDPT5_91ENDIN_16" localSheetId="4">'GMIC_2020-Annu_SCDPT5'!$R$120</definedName>
    <definedName name="SCDPT5_91ENDIN_17" localSheetId="4">'GMIC_2020-Annu_SCDPT5'!$S$120</definedName>
    <definedName name="SCDPT5_91ENDIN_18" localSheetId="4">'GMIC_2020-Annu_SCDPT5'!$T$120</definedName>
    <definedName name="SCDPT5_91ENDIN_19" localSheetId="4">'GMIC_2020-Annu_SCDPT5'!$U$120</definedName>
    <definedName name="SCDPT5_91ENDIN_2" localSheetId="4">'GMIC_2020-Annu_SCDPT5'!$D$120</definedName>
    <definedName name="SCDPT5_91ENDIN_20" localSheetId="4">'GMIC_2020-Annu_SCDPT5'!$V$120</definedName>
    <definedName name="SCDPT5_91ENDIN_21" localSheetId="4">'GMIC_2020-Annu_SCDPT5'!$W$120</definedName>
    <definedName name="SCDPT5_91ENDIN_22" localSheetId="4">'GMIC_2020-Annu_SCDPT5'!$X$120</definedName>
    <definedName name="SCDPT5_91ENDIN_23" localSheetId="4">'GMIC_2020-Annu_SCDPT5'!$Y$120</definedName>
    <definedName name="SCDPT5_91ENDIN_24" localSheetId="4">'GMIC_2020-Annu_SCDPT5'!$Z$120</definedName>
    <definedName name="SCDPT5_91ENDIN_25" localSheetId="4">'GMIC_2020-Annu_SCDPT5'!$AA$120</definedName>
    <definedName name="SCDPT5_91ENDIN_26" localSheetId="4">'GMIC_2020-Annu_SCDPT5'!$AB$120</definedName>
    <definedName name="SCDPT5_91ENDIN_3" localSheetId="4">'GMIC_2020-Annu_SCDPT5'!$E$120</definedName>
    <definedName name="SCDPT5_91ENDIN_4" localSheetId="4">'GMIC_2020-Annu_SCDPT5'!$F$120</definedName>
    <definedName name="SCDPT5_91ENDIN_5" localSheetId="4">'GMIC_2020-Annu_SCDPT5'!$G$120</definedName>
    <definedName name="SCDPT5_91ENDIN_6" localSheetId="4">'GMIC_2020-Annu_SCDPT5'!$H$120</definedName>
    <definedName name="SCDPT5_91ENDIN_7" localSheetId="4">'GMIC_2020-Annu_SCDPT5'!$I$120</definedName>
    <definedName name="SCDPT5_91ENDIN_8" localSheetId="4">'GMIC_2020-Annu_SCDPT5'!$J$120</definedName>
    <definedName name="SCDPT5_91ENDIN_9" localSheetId="4">'GMIC_2020-Annu_SCDPT5'!$K$120</definedName>
    <definedName name="SCDPT5_9200000_Range" localSheetId="4">'GMIC_2020-Annu_SCDPT5'!$B$122:$AB$124</definedName>
    <definedName name="SCDPT5_9299999_10" localSheetId="4">'GMIC_2020-Annu_SCDPT5'!$L$125</definedName>
    <definedName name="SCDPT5_9299999_11" localSheetId="4">'GMIC_2020-Annu_SCDPT5'!$M$125</definedName>
    <definedName name="SCDPT5_9299999_12" localSheetId="4">'GMIC_2020-Annu_SCDPT5'!$N$125</definedName>
    <definedName name="SCDPT5_9299999_13" localSheetId="4">'GMIC_2020-Annu_SCDPT5'!$O$125</definedName>
    <definedName name="SCDPT5_9299999_14" localSheetId="4">'GMIC_2020-Annu_SCDPT5'!$P$125</definedName>
    <definedName name="SCDPT5_9299999_15" localSheetId="4">'GMIC_2020-Annu_SCDPT5'!$Q$125</definedName>
    <definedName name="SCDPT5_9299999_16" localSheetId="4">'GMIC_2020-Annu_SCDPT5'!$R$125</definedName>
    <definedName name="SCDPT5_9299999_17" localSheetId="4">'GMIC_2020-Annu_SCDPT5'!$S$125</definedName>
    <definedName name="SCDPT5_9299999_18" localSheetId="4">'GMIC_2020-Annu_SCDPT5'!$T$125</definedName>
    <definedName name="SCDPT5_9299999_19" localSheetId="4">'GMIC_2020-Annu_SCDPT5'!$U$125</definedName>
    <definedName name="SCDPT5_9299999_20" localSheetId="4">'GMIC_2020-Annu_SCDPT5'!$V$125</definedName>
    <definedName name="SCDPT5_9299999_21" localSheetId="4">'GMIC_2020-Annu_SCDPT5'!$W$125</definedName>
    <definedName name="SCDPT5_9299999_9" localSheetId="4">'GMIC_2020-Annu_SCDPT5'!$K$125</definedName>
    <definedName name="SCDPT5_92BEGIN_1" localSheetId="4">'GMIC_2020-Annu_SCDPT5'!$C$122</definedName>
    <definedName name="SCDPT5_92BEGIN_10" localSheetId="4">'GMIC_2020-Annu_SCDPT5'!$L$122</definedName>
    <definedName name="SCDPT5_92BEGIN_11" localSheetId="4">'GMIC_2020-Annu_SCDPT5'!$M$122</definedName>
    <definedName name="SCDPT5_92BEGIN_12" localSheetId="4">'GMIC_2020-Annu_SCDPT5'!$N$122</definedName>
    <definedName name="SCDPT5_92BEGIN_13" localSheetId="4">'GMIC_2020-Annu_SCDPT5'!$O$122</definedName>
    <definedName name="SCDPT5_92BEGIN_14" localSheetId="4">'GMIC_2020-Annu_SCDPT5'!$P$122</definedName>
    <definedName name="SCDPT5_92BEGIN_15" localSheetId="4">'GMIC_2020-Annu_SCDPT5'!$Q$122</definedName>
    <definedName name="SCDPT5_92BEGIN_16" localSheetId="4">'GMIC_2020-Annu_SCDPT5'!$R$122</definedName>
    <definedName name="SCDPT5_92BEGIN_17" localSheetId="4">'GMIC_2020-Annu_SCDPT5'!$S$122</definedName>
    <definedName name="SCDPT5_92BEGIN_18" localSheetId="4">'GMIC_2020-Annu_SCDPT5'!$T$122</definedName>
    <definedName name="SCDPT5_92BEGIN_19" localSheetId="4">'GMIC_2020-Annu_SCDPT5'!$U$122</definedName>
    <definedName name="SCDPT5_92BEGIN_2" localSheetId="4">'GMIC_2020-Annu_SCDPT5'!$D$122</definedName>
    <definedName name="SCDPT5_92BEGIN_20" localSheetId="4">'GMIC_2020-Annu_SCDPT5'!$V$122</definedName>
    <definedName name="SCDPT5_92BEGIN_21" localSheetId="4">'GMIC_2020-Annu_SCDPT5'!$W$122</definedName>
    <definedName name="SCDPT5_92BEGIN_22" localSheetId="4">'GMIC_2020-Annu_SCDPT5'!$X$122</definedName>
    <definedName name="SCDPT5_92BEGIN_23" localSheetId="4">'GMIC_2020-Annu_SCDPT5'!$Y$122</definedName>
    <definedName name="SCDPT5_92BEGIN_24" localSheetId="4">'GMIC_2020-Annu_SCDPT5'!$Z$122</definedName>
    <definedName name="SCDPT5_92BEGIN_25" localSheetId="4">'GMIC_2020-Annu_SCDPT5'!$AA$122</definedName>
    <definedName name="SCDPT5_92BEGIN_26" localSheetId="4">'GMIC_2020-Annu_SCDPT5'!$AB$122</definedName>
    <definedName name="SCDPT5_92BEGIN_3" localSheetId="4">'GMIC_2020-Annu_SCDPT5'!$E$122</definedName>
    <definedName name="SCDPT5_92BEGIN_4" localSheetId="4">'GMIC_2020-Annu_SCDPT5'!$F$122</definedName>
    <definedName name="SCDPT5_92BEGIN_5" localSheetId="4">'GMIC_2020-Annu_SCDPT5'!$G$122</definedName>
    <definedName name="SCDPT5_92BEGIN_6" localSheetId="4">'GMIC_2020-Annu_SCDPT5'!$H$122</definedName>
    <definedName name="SCDPT5_92BEGIN_7" localSheetId="4">'GMIC_2020-Annu_SCDPT5'!$I$122</definedName>
    <definedName name="SCDPT5_92BEGIN_8" localSheetId="4">'GMIC_2020-Annu_SCDPT5'!$J$122</definedName>
    <definedName name="SCDPT5_92BEGIN_9" localSheetId="4">'GMIC_2020-Annu_SCDPT5'!$K$122</definedName>
    <definedName name="SCDPT5_92ENDIN_10" localSheetId="4">'GMIC_2020-Annu_SCDPT5'!$L$124</definedName>
    <definedName name="SCDPT5_92ENDIN_11" localSheetId="4">'GMIC_2020-Annu_SCDPT5'!$M$124</definedName>
    <definedName name="SCDPT5_92ENDIN_12" localSheetId="4">'GMIC_2020-Annu_SCDPT5'!$N$124</definedName>
    <definedName name="SCDPT5_92ENDIN_13" localSheetId="4">'GMIC_2020-Annu_SCDPT5'!$O$124</definedName>
    <definedName name="SCDPT5_92ENDIN_14" localSheetId="4">'GMIC_2020-Annu_SCDPT5'!$P$124</definedName>
    <definedName name="SCDPT5_92ENDIN_15" localSheetId="4">'GMIC_2020-Annu_SCDPT5'!$Q$124</definedName>
    <definedName name="SCDPT5_92ENDIN_16" localSheetId="4">'GMIC_2020-Annu_SCDPT5'!$R$124</definedName>
    <definedName name="SCDPT5_92ENDIN_17" localSheetId="4">'GMIC_2020-Annu_SCDPT5'!$S$124</definedName>
    <definedName name="SCDPT5_92ENDIN_18" localSheetId="4">'GMIC_2020-Annu_SCDPT5'!$T$124</definedName>
    <definedName name="SCDPT5_92ENDIN_19" localSheetId="4">'GMIC_2020-Annu_SCDPT5'!$U$124</definedName>
    <definedName name="SCDPT5_92ENDIN_2" localSheetId="4">'GMIC_2020-Annu_SCDPT5'!$D$124</definedName>
    <definedName name="SCDPT5_92ENDIN_20" localSheetId="4">'GMIC_2020-Annu_SCDPT5'!$V$124</definedName>
    <definedName name="SCDPT5_92ENDIN_21" localSheetId="4">'GMIC_2020-Annu_SCDPT5'!$W$124</definedName>
    <definedName name="SCDPT5_92ENDIN_22" localSheetId="4">'GMIC_2020-Annu_SCDPT5'!$X$124</definedName>
    <definedName name="SCDPT5_92ENDIN_23" localSheetId="4">'GMIC_2020-Annu_SCDPT5'!$Y$124</definedName>
    <definedName name="SCDPT5_92ENDIN_24" localSheetId="4">'GMIC_2020-Annu_SCDPT5'!$Z$124</definedName>
    <definedName name="SCDPT5_92ENDIN_25" localSheetId="4">'GMIC_2020-Annu_SCDPT5'!$AA$124</definedName>
    <definedName name="SCDPT5_92ENDIN_26" localSheetId="4">'GMIC_2020-Annu_SCDPT5'!$AB$124</definedName>
    <definedName name="SCDPT5_92ENDIN_3" localSheetId="4">'GMIC_2020-Annu_SCDPT5'!$E$124</definedName>
    <definedName name="SCDPT5_92ENDIN_4" localSheetId="4">'GMIC_2020-Annu_SCDPT5'!$F$124</definedName>
    <definedName name="SCDPT5_92ENDIN_5" localSheetId="4">'GMIC_2020-Annu_SCDPT5'!$G$124</definedName>
    <definedName name="SCDPT5_92ENDIN_6" localSheetId="4">'GMIC_2020-Annu_SCDPT5'!$H$124</definedName>
    <definedName name="SCDPT5_92ENDIN_7" localSheetId="4">'GMIC_2020-Annu_SCDPT5'!$I$124</definedName>
    <definedName name="SCDPT5_92ENDIN_8" localSheetId="4">'GMIC_2020-Annu_SCDPT5'!$J$124</definedName>
    <definedName name="SCDPT5_92ENDIN_9" localSheetId="4">'GMIC_2020-Annu_SCDPT5'!$K$124</definedName>
    <definedName name="SCDPT5_9300000_Range" localSheetId="4">'GMIC_2020-Annu_SCDPT5'!$B$126:$AB$128</definedName>
    <definedName name="SCDPT5_9399999_10" localSheetId="4">'GMIC_2020-Annu_SCDPT5'!$L$129</definedName>
    <definedName name="SCDPT5_9399999_11" localSheetId="4">'GMIC_2020-Annu_SCDPT5'!$M$129</definedName>
    <definedName name="SCDPT5_9399999_12" localSheetId="4">'GMIC_2020-Annu_SCDPT5'!$N$129</definedName>
    <definedName name="SCDPT5_9399999_13" localSheetId="4">'GMIC_2020-Annu_SCDPT5'!$O$129</definedName>
    <definedName name="SCDPT5_9399999_14" localSheetId="4">'GMIC_2020-Annu_SCDPT5'!$P$129</definedName>
    <definedName name="SCDPT5_9399999_15" localSheetId="4">'GMIC_2020-Annu_SCDPT5'!$Q$129</definedName>
    <definedName name="SCDPT5_9399999_16" localSheetId="4">'GMIC_2020-Annu_SCDPT5'!$R$129</definedName>
    <definedName name="SCDPT5_9399999_17" localSheetId="4">'GMIC_2020-Annu_SCDPT5'!$S$129</definedName>
    <definedName name="SCDPT5_9399999_18" localSheetId="4">'GMIC_2020-Annu_SCDPT5'!$T$129</definedName>
    <definedName name="SCDPT5_9399999_19" localSheetId="4">'GMIC_2020-Annu_SCDPT5'!$U$129</definedName>
    <definedName name="SCDPT5_9399999_20" localSheetId="4">'GMIC_2020-Annu_SCDPT5'!$V$129</definedName>
    <definedName name="SCDPT5_9399999_21" localSheetId="4">'GMIC_2020-Annu_SCDPT5'!$W$129</definedName>
    <definedName name="SCDPT5_9399999_9" localSheetId="4">'GMIC_2020-Annu_SCDPT5'!$K$129</definedName>
    <definedName name="SCDPT5_93BEGIN_1" localSheetId="4">'GMIC_2020-Annu_SCDPT5'!$C$126</definedName>
    <definedName name="SCDPT5_93BEGIN_10" localSheetId="4">'GMIC_2020-Annu_SCDPT5'!$L$126</definedName>
    <definedName name="SCDPT5_93BEGIN_11" localSheetId="4">'GMIC_2020-Annu_SCDPT5'!$M$126</definedName>
    <definedName name="SCDPT5_93BEGIN_12" localSheetId="4">'GMIC_2020-Annu_SCDPT5'!$N$126</definedName>
    <definedName name="SCDPT5_93BEGIN_13" localSheetId="4">'GMIC_2020-Annu_SCDPT5'!$O$126</definedName>
    <definedName name="SCDPT5_93BEGIN_14" localSheetId="4">'GMIC_2020-Annu_SCDPT5'!$P$126</definedName>
    <definedName name="SCDPT5_93BEGIN_15" localSheetId="4">'GMIC_2020-Annu_SCDPT5'!$Q$126</definedName>
    <definedName name="SCDPT5_93BEGIN_16" localSheetId="4">'GMIC_2020-Annu_SCDPT5'!$R$126</definedName>
    <definedName name="SCDPT5_93BEGIN_17" localSheetId="4">'GMIC_2020-Annu_SCDPT5'!$S$126</definedName>
    <definedName name="SCDPT5_93BEGIN_18" localSheetId="4">'GMIC_2020-Annu_SCDPT5'!$T$126</definedName>
    <definedName name="SCDPT5_93BEGIN_19" localSheetId="4">'GMIC_2020-Annu_SCDPT5'!$U$126</definedName>
    <definedName name="SCDPT5_93BEGIN_2" localSheetId="4">'GMIC_2020-Annu_SCDPT5'!$D$126</definedName>
    <definedName name="SCDPT5_93BEGIN_20" localSheetId="4">'GMIC_2020-Annu_SCDPT5'!$V$126</definedName>
    <definedName name="SCDPT5_93BEGIN_21" localSheetId="4">'GMIC_2020-Annu_SCDPT5'!$W$126</definedName>
    <definedName name="SCDPT5_93BEGIN_22" localSheetId="4">'GMIC_2020-Annu_SCDPT5'!$X$126</definedName>
    <definedName name="SCDPT5_93BEGIN_23" localSheetId="4">'GMIC_2020-Annu_SCDPT5'!$Y$126</definedName>
    <definedName name="SCDPT5_93BEGIN_24" localSheetId="4">'GMIC_2020-Annu_SCDPT5'!$Z$126</definedName>
    <definedName name="SCDPT5_93BEGIN_25" localSheetId="4">'GMIC_2020-Annu_SCDPT5'!$AA$126</definedName>
    <definedName name="SCDPT5_93BEGIN_26" localSheetId="4">'GMIC_2020-Annu_SCDPT5'!$AB$126</definedName>
    <definedName name="SCDPT5_93BEGIN_3" localSheetId="4">'GMIC_2020-Annu_SCDPT5'!$E$126</definedName>
    <definedName name="SCDPT5_93BEGIN_4" localSheetId="4">'GMIC_2020-Annu_SCDPT5'!$F$126</definedName>
    <definedName name="SCDPT5_93BEGIN_5" localSheetId="4">'GMIC_2020-Annu_SCDPT5'!$G$126</definedName>
    <definedName name="SCDPT5_93BEGIN_6" localSheetId="4">'GMIC_2020-Annu_SCDPT5'!$H$126</definedName>
    <definedName name="SCDPT5_93BEGIN_7" localSheetId="4">'GMIC_2020-Annu_SCDPT5'!$I$126</definedName>
    <definedName name="SCDPT5_93BEGIN_8" localSheetId="4">'GMIC_2020-Annu_SCDPT5'!$J$126</definedName>
    <definedName name="SCDPT5_93BEGIN_9" localSheetId="4">'GMIC_2020-Annu_SCDPT5'!$K$126</definedName>
    <definedName name="SCDPT5_93ENDIN_10" localSheetId="4">'GMIC_2020-Annu_SCDPT5'!$L$128</definedName>
    <definedName name="SCDPT5_93ENDIN_11" localSheetId="4">'GMIC_2020-Annu_SCDPT5'!$M$128</definedName>
    <definedName name="SCDPT5_93ENDIN_12" localSheetId="4">'GMIC_2020-Annu_SCDPT5'!$N$128</definedName>
    <definedName name="SCDPT5_93ENDIN_13" localSheetId="4">'GMIC_2020-Annu_SCDPT5'!$O$128</definedName>
    <definedName name="SCDPT5_93ENDIN_14" localSheetId="4">'GMIC_2020-Annu_SCDPT5'!$P$128</definedName>
    <definedName name="SCDPT5_93ENDIN_15" localSheetId="4">'GMIC_2020-Annu_SCDPT5'!$Q$128</definedName>
    <definedName name="SCDPT5_93ENDIN_16" localSheetId="4">'GMIC_2020-Annu_SCDPT5'!$R$128</definedName>
    <definedName name="SCDPT5_93ENDIN_17" localSheetId="4">'GMIC_2020-Annu_SCDPT5'!$S$128</definedName>
    <definedName name="SCDPT5_93ENDIN_18" localSheetId="4">'GMIC_2020-Annu_SCDPT5'!$T$128</definedName>
    <definedName name="SCDPT5_93ENDIN_19" localSheetId="4">'GMIC_2020-Annu_SCDPT5'!$U$128</definedName>
    <definedName name="SCDPT5_93ENDIN_2" localSheetId="4">'GMIC_2020-Annu_SCDPT5'!$D$128</definedName>
    <definedName name="SCDPT5_93ENDIN_20" localSheetId="4">'GMIC_2020-Annu_SCDPT5'!$V$128</definedName>
    <definedName name="SCDPT5_93ENDIN_21" localSheetId="4">'GMIC_2020-Annu_SCDPT5'!$W$128</definedName>
    <definedName name="SCDPT5_93ENDIN_22" localSheetId="4">'GMIC_2020-Annu_SCDPT5'!$X$128</definedName>
    <definedName name="SCDPT5_93ENDIN_23" localSheetId="4">'GMIC_2020-Annu_SCDPT5'!$Y$128</definedName>
    <definedName name="SCDPT5_93ENDIN_24" localSheetId="4">'GMIC_2020-Annu_SCDPT5'!$Z$128</definedName>
    <definedName name="SCDPT5_93ENDIN_25" localSheetId="4">'GMIC_2020-Annu_SCDPT5'!$AA$128</definedName>
    <definedName name="SCDPT5_93ENDIN_26" localSheetId="4">'GMIC_2020-Annu_SCDPT5'!$AB$128</definedName>
    <definedName name="SCDPT5_93ENDIN_3" localSheetId="4">'GMIC_2020-Annu_SCDPT5'!$E$128</definedName>
    <definedName name="SCDPT5_93ENDIN_4" localSheetId="4">'GMIC_2020-Annu_SCDPT5'!$F$128</definedName>
    <definedName name="SCDPT5_93ENDIN_5" localSheetId="4">'GMIC_2020-Annu_SCDPT5'!$G$128</definedName>
    <definedName name="SCDPT5_93ENDIN_6" localSheetId="4">'GMIC_2020-Annu_SCDPT5'!$H$128</definedName>
    <definedName name="SCDPT5_93ENDIN_7" localSheetId="4">'GMIC_2020-Annu_SCDPT5'!$I$128</definedName>
    <definedName name="SCDPT5_93ENDIN_8" localSheetId="4">'GMIC_2020-Annu_SCDPT5'!$J$128</definedName>
    <definedName name="SCDPT5_93ENDIN_9" localSheetId="4">'GMIC_2020-Annu_SCDPT5'!$K$128</definedName>
    <definedName name="SCDPT5_9400000_Range" localSheetId="4">'GMIC_2020-Annu_SCDPT5'!$B$130:$AB$132</definedName>
    <definedName name="SCDPT5_9499999_10" localSheetId="4">'GMIC_2020-Annu_SCDPT5'!$L$133</definedName>
    <definedName name="SCDPT5_9499999_11" localSheetId="4">'GMIC_2020-Annu_SCDPT5'!$M$133</definedName>
    <definedName name="SCDPT5_9499999_12" localSheetId="4">'GMIC_2020-Annu_SCDPT5'!$N$133</definedName>
    <definedName name="SCDPT5_9499999_13" localSheetId="4">'GMIC_2020-Annu_SCDPT5'!$O$133</definedName>
    <definedName name="SCDPT5_9499999_14" localSheetId="4">'GMIC_2020-Annu_SCDPT5'!$P$133</definedName>
    <definedName name="SCDPT5_9499999_15" localSheetId="4">'GMIC_2020-Annu_SCDPT5'!$Q$133</definedName>
    <definedName name="SCDPT5_9499999_16" localSheetId="4">'GMIC_2020-Annu_SCDPT5'!$R$133</definedName>
    <definedName name="SCDPT5_9499999_17" localSheetId="4">'GMIC_2020-Annu_SCDPT5'!$S$133</definedName>
    <definedName name="SCDPT5_9499999_18" localSheetId="4">'GMIC_2020-Annu_SCDPT5'!$T$133</definedName>
    <definedName name="SCDPT5_9499999_19" localSheetId="4">'GMIC_2020-Annu_SCDPT5'!$U$133</definedName>
    <definedName name="SCDPT5_9499999_20" localSheetId="4">'GMIC_2020-Annu_SCDPT5'!$V$133</definedName>
    <definedName name="SCDPT5_9499999_21" localSheetId="4">'GMIC_2020-Annu_SCDPT5'!$W$133</definedName>
    <definedName name="SCDPT5_9499999_9" localSheetId="4">'GMIC_2020-Annu_SCDPT5'!$K$133</definedName>
    <definedName name="SCDPT5_94BEGIN_1" localSheetId="4">'GMIC_2020-Annu_SCDPT5'!$C$130</definedName>
    <definedName name="SCDPT5_94BEGIN_10" localSheetId="4">'GMIC_2020-Annu_SCDPT5'!$L$130</definedName>
    <definedName name="SCDPT5_94BEGIN_11" localSheetId="4">'GMIC_2020-Annu_SCDPT5'!$M$130</definedName>
    <definedName name="SCDPT5_94BEGIN_12" localSheetId="4">'GMIC_2020-Annu_SCDPT5'!$N$130</definedName>
    <definedName name="SCDPT5_94BEGIN_13" localSheetId="4">'GMIC_2020-Annu_SCDPT5'!$O$130</definedName>
    <definedName name="SCDPT5_94BEGIN_14" localSheetId="4">'GMIC_2020-Annu_SCDPT5'!$P$130</definedName>
    <definedName name="SCDPT5_94BEGIN_15" localSheetId="4">'GMIC_2020-Annu_SCDPT5'!$Q$130</definedName>
    <definedName name="SCDPT5_94BEGIN_16" localSheetId="4">'GMIC_2020-Annu_SCDPT5'!$R$130</definedName>
    <definedName name="SCDPT5_94BEGIN_17" localSheetId="4">'GMIC_2020-Annu_SCDPT5'!$S$130</definedName>
    <definedName name="SCDPT5_94BEGIN_18" localSheetId="4">'GMIC_2020-Annu_SCDPT5'!$T$130</definedName>
    <definedName name="SCDPT5_94BEGIN_19" localSheetId="4">'GMIC_2020-Annu_SCDPT5'!$U$130</definedName>
    <definedName name="SCDPT5_94BEGIN_2" localSheetId="4">'GMIC_2020-Annu_SCDPT5'!$D$130</definedName>
    <definedName name="SCDPT5_94BEGIN_20" localSheetId="4">'GMIC_2020-Annu_SCDPT5'!$V$130</definedName>
    <definedName name="SCDPT5_94BEGIN_21" localSheetId="4">'GMIC_2020-Annu_SCDPT5'!$W$130</definedName>
    <definedName name="SCDPT5_94BEGIN_22" localSheetId="4">'GMIC_2020-Annu_SCDPT5'!$X$130</definedName>
    <definedName name="SCDPT5_94BEGIN_23" localSheetId="4">'GMIC_2020-Annu_SCDPT5'!$Y$130</definedName>
    <definedName name="SCDPT5_94BEGIN_24" localSheetId="4">'GMIC_2020-Annu_SCDPT5'!$Z$130</definedName>
    <definedName name="SCDPT5_94BEGIN_25" localSheetId="4">'GMIC_2020-Annu_SCDPT5'!$AA$130</definedName>
    <definedName name="SCDPT5_94BEGIN_26" localSheetId="4">'GMIC_2020-Annu_SCDPT5'!$AB$130</definedName>
    <definedName name="SCDPT5_94BEGIN_3" localSheetId="4">'GMIC_2020-Annu_SCDPT5'!$E$130</definedName>
    <definedName name="SCDPT5_94BEGIN_4" localSheetId="4">'GMIC_2020-Annu_SCDPT5'!$F$130</definedName>
    <definedName name="SCDPT5_94BEGIN_5" localSheetId="4">'GMIC_2020-Annu_SCDPT5'!$G$130</definedName>
    <definedName name="SCDPT5_94BEGIN_6" localSheetId="4">'GMIC_2020-Annu_SCDPT5'!$H$130</definedName>
    <definedName name="SCDPT5_94BEGIN_7" localSheetId="4">'GMIC_2020-Annu_SCDPT5'!$I$130</definedName>
    <definedName name="SCDPT5_94BEGIN_8" localSheetId="4">'GMIC_2020-Annu_SCDPT5'!$J$130</definedName>
    <definedName name="SCDPT5_94BEGIN_9" localSheetId="4">'GMIC_2020-Annu_SCDPT5'!$K$130</definedName>
    <definedName name="SCDPT5_94ENDIN_10" localSheetId="4">'GMIC_2020-Annu_SCDPT5'!$L$132</definedName>
    <definedName name="SCDPT5_94ENDIN_11" localSheetId="4">'GMIC_2020-Annu_SCDPT5'!$M$132</definedName>
    <definedName name="SCDPT5_94ENDIN_12" localSheetId="4">'GMIC_2020-Annu_SCDPT5'!$N$132</definedName>
    <definedName name="SCDPT5_94ENDIN_13" localSheetId="4">'GMIC_2020-Annu_SCDPT5'!$O$132</definedName>
    <definedName name="SCDPT5_94ENDIN_14" localSheetId="4">'GMIC_2020-Annu_SCDPT5'!$P$132</definedName>
    <definedName name="SCDPT5_94ENDIN_15" localSheetId="4">'GMIC_2020-Annu_SCDPT5'!$Q$132</definedName>
    <definedName name="SCDPT5_94ENDIN_16" localSheetId="4">'GMIC_2020-Annu_SCDPT5'!$R$132</definedName>
    <definedName name="SCDPT5_94ENDIN_17" localSheetId="4">'GMIC_2020-Annu_SCDPT5'!$S$132</definedName>
    <definedName name="SCDPT5_94ENDIN_18" localSheetId="4">'GMIC_2020-Annu_SCDPT5'!$T$132</definedName>
    <definedName name="SCDPT5_94ENDIN_19" localSheetId="4">'GMIC_2020-Annu_SCDPT5'!$U$132</definedName>
    <definedName name="SCDPT5_94ENDIN_2" localSheetId="4">'GMIC_2020-Annu_SCDPT5'!$D$132</definedName>
    <definedName name="SCDPT5_94ENDIN_20" localSheetId="4">'GMIC_2020-Annu_SCDPT5'!$V$132</definedName>
    <definedName name="SCDPT5_94ENDIN_21" localSheetId="4">'GMIC_2020-Annu_SCDPT5'!$W$132</definedName>
    <definedName name="SCDPT5_94ENDIN_22" localSheetId="4">'GMIC_2020-Annu_SCDPT5'!$X$132</definedName>
    <definedName name="SCDPT5_94ENDIN_23" localSheetId="4">'GMIC_2020-Annu_SCDPT5'!$Y$132</definedName>
    <definedName name="SCDPT5_94ENDIN_24" localSheetId="4">'GMIC_2020-Annu_SCDPT5'!$Z$132</definedName>
    <definedName name="SCDPT5_94ENDIN_25" localSheetId="4">'GMIC_2020-Annu_SCDPT5'!$AA$132</definedName>
    <definedName name="SCDPT5_94ENDIN_26" localSheetId="4">'GMIC_2020-Annu_SCDPT5'!$AB$132</definedName>
    <definedName name="SCDPT5_94ENDIN_3" localSheetId="4">'GMIC_2020-Annu_SCDPT5'!$E$132</definedName>
    <definedName name="SCDPT5_94ENDIN_4" localSheetId="4">'GMIC_2020-Annu_SCDPT5'!$F$132</definedName>
    <definedName name="SCDPT5_94ENDIN_5" localSheetId="4">'GMIC_2020-Annu_SCDPT5'!$G$132</definedName>
    <definedName name="SCDPT5_94ENDIN_6" localSheetId="4">'GMIC_2020-Annu_SCDPT5'!$H$132</definedName>
    <definedName name="SCDPT5_94ENDIN_7" localSheetId="4">'GMIC_2020-Annu_SCDPT5'!$I$132</definedName>
    <definedName name="SCDPT5_94ENDIN_8" localSheetId="4">'GMIC_2020-Annu_SCDPT5'!$J$132</definedName>
    <definedName name="SCDPT5_94ENDIN_9" localSheetId="4">'GMIC_2020-Annu_SCDPT5'!$K$132</definedName>
    <definedName name="SCDPT5_9500000_Range" localSheetId="4">'GMIC_2020-Annu_SCDPT5'!$B$134:$AB$136</definedName>
    <definedName name="SCDPT5_9599999_10" localSheetId="4">'GMIC_2020-Annu_SCDPT5'!$L$137</definedName>
    <definedName name="SCDPT5_9599999_11" localSheetId="4">'GMIC_2020-Annu_SCDPT5'!$M$137</definedName>
    <definedName name="SCDPT5_9599999_12" localSheetId="4">'GMIC_2020-Annu_SCDPT5'!$N$137</definedName>
    <definedName name="SCDPT5_9599999_13" localSheetId="4">'GMIC_2020-Annu_SCDPT5'!$O$137</definedName>
    <definedName name="SCDPT5_9599999_14" localSheetId="4">'GMIC_2020-Annu_SCDPT5'!$P$137</definedName>
    <definedName name="SCDPT5_9599999_15" localSheetId="4">'GMIC_2020-Annu_SCDPT5'!$Q$137</definedName>
    <definedName name="SCDPT5_9599999_16" localSheetId="4">'GMIC_2020-Annu_SCDPT5'!$R$137</definedName>
    <definedName name="SCDPT5_9599999_17" localSheetId="4">'GMIC_2020-Annu_SCDPT5'!$S$137</definedName>
    <definedName name="SCDPT5_9599999_18" localSheetId="4">'GMIC_2020-Annu_SCDPT5'!$T$137</definedName>
    <definedName name="SCDPT5_9599999_19" localSheetId="4">'GMIC_2020-Annu_SCDPT5'!$U$137</definedName>
    <definedName name="SCDPT5_9599999_20" localSheetId="4">'GMIC_2020-Annu_SCDPT5'!$V$137</definedName>
    <definedName name="SCDPT5_9599999_21" localSheetId="4">'GMIC_2020-Annu_SCDPT5'!$W$137</definedName>
    <definedName name="SCDPT5_9599999_9" localSheetId="4">'GMIC_2020-Annu_SCDPT5'!$K$137</definedName>
    <definedName name="SCDPT5_95BEGIN_1" localSheetId="4">'GMIC_2020-Annu_SCDPT5'!$C$134</definedName>
    <definedName name="SCDPT5_95BEGIN_10" localSheetId="4">'GMIC_2020-Annu_SCDPT5'!$L$134</definedName>
    <definedName name="SCDPT5_95BEGIN_11" localSheetId="4">'GMIC_2020-Annu_SCDPT5'!$M$134</definedName>
    <definedName name="SCDPT5_95BEGIN_12" localSheetId="4">'GMIC_2020-Annu_SCDPT5'!$N$134</definedName>
    <definedName name="SCDPT5_95BEGIN_13" localSheetId="4">'GMIC_2020-Annu_SCDPT5'!$O$134</definedName>
    <definedName name="SCDPT5_95BEGIN_14" localSheetId="4">'GMIC_2020-Annu_SCDPT5'!$P$134</definedName>
    <definedName name="SCDPT5_95BEGIN_15" localSheetId="4">'GMIC_2020-Annu_SCDPT5'!$Q$134</definedName>
    <definedName name="SCDPT5_95BEGIN_16" localSheetId="4">'GMIC_2020-Annu_SCDPT5'!$R$134</definedName>
    <definedName name="SCDPT5_95BEGIN_17" localSheetId="4">'GMIC_2020-Annu_SCDPT5'!$S$134</definedName>
    <definedName name="SCDPT5_95BEGIN_18" localSheetId="4">'GMIC_2020-Annu_SCDPT5'!$T$134</definedName>
    <definedName name="SCDPT5_95BEGIN_19" localSheetId="4">'GMIC_2020-Annu_SCDPT5'!$U$134</definedName>
    <definedName name="SCDPT5_95BEGIN_2" localSheetId="4">'GMIC_2020-Annu_SCDPT5'!$D$134</definedName>
    <definedName name="SCDPT5_95BEGIN_20" localSheetId="4">'GMIC_2020-Annu_SCDPT5'!$V$134</definedName>
    <definedName name="SCDPT5_95BEGIN_21" localSheetId="4">'GMIC_2020-Annu_SCDPT5'!$W$134</definedName>
    <definedName name="SCDPT5_95BEGIN_22" localSheetId="4">'GMIC_2020-Annu_SCDPT5'!$X$134</definedName>
    <definedName name="SCDPT5_95BEGIN_23" localSheetId="4">'GMIC_2020-Annu_SCDPT5'!$Y$134</definedName>
    <definedName name="SCDPT5_95BEGIN_24" localSheetId="4">'GMIC_2020-Annu_SCDPT5'!$Z$134</definedName>
    <definedName name="SCDPT5_95BEGIN_25" localSheetId="4">'GMIC_2020-Annu_SCDPT5'!$AA$134</definedName>
    <definedName name="SCDPT5_95BEGIN_26" localSheetId="4">'GMIC_2020-Annu_SCDPT5'!$AB$134</definedName>
    <definedName name="SCDPT5_95BEGIN_3" localSheetId="4">'GMIC_2020-Annu_SCDPT5'!$E$134</definedName>
    <definedName name="SCDPT5_95BEGIN_4" localSheetId="4">'GMIC_2020-Annu_SCDPT5'!$F$134</definedName>
    <definedName name="SCDPT5_95BEGIN_5" localSheetId="4">'GMIC_2020-Annu_SCDPT5'!$G$134</definedName>
    <definedName name="SCDPT5_95BEGIN_6" localSheetId="4">'GMIC_2020-Annu_SCDPT5'!$H$134</definedName>
    <definedName name="SCDPT5_95BEGIN_7" localSheetId="4">'GMIC_2020-Annu_SCDPT5'!$I$134</definedName>
    <definedName name="SCDPT5_95BEGIN_8" localSheetId="4">'GMIC_2020-Annu_SCDPT5'!$J$134</definedName>
    <definedName name="SCDPT5_95BEGIN_9" localSheetId="4">'GMIC_2020-Annu_SCDPT5'!$K$134</definedName>
    <definedName name="SCDPT5_95ENDIN_10" localSheetId="4">'GMIC_2020-Annu_SCDPT5'!$L$136</definedName>
    <definedName name="SCDPT5_95ENDIN_11" localSheetId="4">'GMIC_2020-Annu_SCDPT5'!$M$136</definedName>
    <definedName name="SCDPT5_95ENDIN_12" localSheetId="4">'GMIC_2020-Annu_SCDPT5'!$N$136</definedName>
    <definedName name="SCDPT5_95ENDIN_13" localSheetId="4">'GMIC_2020-Annu_SCDPT5'!$O$136</definedName>
    <definedName name="SCDPT5_95ENDIN_14" localSheetId="4">'GMIC_2020-Annu_SCDPT5'!$P$136</definedName>
    <definedName name="SCDPT5_95ENDIN_15" localSheetId="4">'GMIC_2020-Annu_SCDPT5'!$Q$136</definedName>
    <definedName name="SCDPT5_95ENDIN_16" localSheetId="4">'GMIC_2020-Annu_SCDPT5'!$R$136</definedName>
    <definedName name="SCDPT5_95ENDIN_17" localSheetId="4">'GMIC_2020-Annu_SCDPT5'!$S$136</definedName>
    <definedName name="SCDPT5_95ENDIN_18" localSheetId="4">'GMIC_2020-Annu_SCDPT5'!$T$136</definedName>
    <definedName name="SCDPT5_95ENDIN_19" localSheetId="4">'GMIC_2020-Annu_SCDPT5'!$U$136</definedName>
    <definedName name="SCDPT5_95ENDIN_2" localSheetId="4">'GMIC_2020-Annu_SCDPT5'!$D$136</definedName>
    <definedName name="SCDPT5_95ENDIN_20" localSheetId="4">'GMIC_2020-Annu_SCDPT5'!$V$136</definedName>
    <definedName name="SCDPT5_95ENDIN_21" localSheetId="4">'GMIC_2020-Annu_SCDPT5'!$W$136</definedName>
    <definedName name="SCDPT5_95ENDIN_22" localSheetId="4">'GMIC_2020-Annu_SCDPT5'!$X$136</definedName>
    <definedName name="SCDPT5_95ENDIN_23" localSheetId="4">'GMIC_2020-Annu_SCDPT5'!$Y$136</definedName>
    <definedName name="SCDPT5_95ENDIN_24" localSheetId="4">'GMIC_2020-Annu_SCDPT5'!$Z$136</definedName>
    <definedName name="SCDPT5_95ENDIN_25" localSheetId="4">'GMIC_2020-Annu_SCDPT5'!$AA$136</definedName>
    <definedName name="SCDPT5_95ENDIN_26" localSheetId="4">'GMIC_2020-Annu_SCDPT5'!$AB$136</definedName>
    <definedName name="SCDPT5_95ENDIN_3" localSheetId="4">'GMIC_2020-Annu_SCDPT5'!$E$136</definedName>
    <definedName name="SCDPT5_95ENDIN_4" localSheetId="4">'GMIC_2020-Annu_SCDPT5'!$F$136</definedName>
    <definedName name="SCDPT5_95ENDIN_5" localSheetId="4">'GMIC_2020-Annu_SCDPT5'!$G$136</definedName>
    <definedName name="SCDPT5_95ENDIN_6" localSheetId="4">'GMIC_2020-Annu_SCDPT5'!$H$136</definedName>
    <definedName name="SCDPT5_95ENDIN_7" localSheetId="4">'GMIC_2020-Annu_SCDPT5'!$I$136</definedName>
    <definedName name="SCDPT5_95ENDIN_8" localSheetId="4">'GMIC_2020-Annu_SCDPT5'!$J$136</definedName>
    <definedName name="SCDPT5_95ENDIN_9" localSheetId="4">'GMIC_2020-Annu_SCDPT5'!$K$136</definedName>
    <definedName name="SCDPT5_9600000_Range" localSheetId="4">'GMIC_2020-Annu_SCDPT5'!$B$138:$AB$140</definedName>
    <definedName name="SCDPT5_9699999_10" localSheetId="4">'GMIC_2020-Annu_SCDPT5'!$L$141</definedName>
    <definedName name="SCDPT5_9699999_11" localSheetId="4">'GMIC_2020-Annu_SCDPT5'!$M$141</definedName>
    <definedName name="SCDPT5_9699999_12" localSheetId="4">'GMIC_2020-Annu_SCDPT5'!$N$141</definedName>
    <definedName name="SCDPT5_9699999_13" localSheetId="4">'GMIC_2020-Annu_SCDPT5'!$O$141</definedName>
    <definedName name="SCDPT5_9699999_14" localSheetId="4">'GMIC_2020-Annu_SCDPT5'!$P$141</definedName>
    <definedName name="SCDPT5_9699999_15" localSheetId="4">'GMIC_2020-Annu_SCDPT5'!$Q$141</definedName>
    <definedName name="SCDPT5_9699999_16" localSheetId="4">'GMIC_2020-Annu_SCDPT5'!$R$141</definedName>
    <definedName name="SCDPT5_9699999_17" localSheetId="4">'GMIC_2020-Annu_SCDPT5'!$S$141</definedName>
    <definedName name="SCDPT5_9699999_18" localSheetId="4">'GMIC_2020-Annu_SCDPT5'!$T$141</definedName>
    <definedName name="SCDPT5_9699999_19" localSheetId="4">'GMIC_2020-Annu_SCDPT5'!$U$141</definedName>
    <definedName name="SCDPT5_9699999_20" localSheetId="4">'GMIC_2020-Annu_SCDPT5'!$V$141</definedName>
    <definedName name="SCDPT5_9699999_21" localSheetId="4">'GMIC_2020-Annu_SCDPT5'!$W$141</definedName>
    <definedName name="SCDPT5_9699999_9" localSheetId="4">'GMIC_2020-Annu_SCDPT5'!$K$141</definedName>
    <definedName name="SCDPT5_96BEGIN_1" localSheetId="4">'GMIC_2020-Annu_SCDPT5'!$C$138</definedName>
    <definedName name="SCDPT5_96BEGIN_10" localSheetId="4">'GMIC_2020-Annu_SCDPT5'!$L$138</definedName>
    <definedName name="SCDPT5_96BEGIN_11" localSheetId="4">'GMIC_2020-Annu_SCDPT5'!$M$138</definedName>
    <definedName name="SCDPT5_96BEGIN_12" localSheetId="4">'GMIC_2020-Annu_SCDPT5'!$N$138</definedName>
    <definedName name="SCDPT5_96BEGIN_13" localSheetId="4">'GMIC_2020-Annu_SCDPT5'!$O$138</definedName>
    <definedName name="SCDPT5_96BEGIN_14" localSheetId="4">'GMIC_2020-Annu_SCDPT5'!$P$138</definedName>
    <definedName name="SCDPT5_96BEGIN_15" localSheetId="4">'GMIC_2020-Annu_SCDPT5'!$Q$138</definedName>
    <definedName name="SCDPT5_96BEGIN_16" localSheetId="4">'GMIC_2020-Annu_SCDPT5'!$R$138</definedName>
    <definedName name="SCDPT5_96BEGIN_17" localSheetId="4">'GMIC_2020-Annu_SCDPT5'!$S$138</definedName>
    <definedName name="SCDPT5_96BEGIN_18" localSheetId="4">'GMIC_2020-Annu_SCDPT5'!$T$138</definedName>
    <definedName name="SCDPT5_96BEGIN_19" localSheetId="4">'GMIC_2020-Annu_SCDPT5'!$U$138</definedName>
    <definedName name="SCDPT5_96BEGIN_2" localSheetId="4">'GMIC_2020-Annu_SCDPT5'!$D$138</definedName>
    <definedName name="SCDPT5_96BEGIN_20" localSheetId="4">'GMIC_2020-Annu_SCDPT5'!$V$138</definedName>
    <definedName name="SCDPT5_96BEGIN_21" localSheetId="4">'GMIC_2020-Annu_SCDPT5'!$W$138</definedName>
    <definedName name="SCDPT5_96BEGIN_22" localSheetId="4">'GMIC_2020-Annu_SCDPT5'!$X$138</definedName>
    <definedName name="SCDPT5_96BEGIN_23" localSheetId="4">'GMIC_2020-Annu_SCDPT5'!$Y$138</definedName>
    <definedName name="SCDPT5_96BEGIN_24" localSheetId="4">'GMIC_2020-Annu_SCDPT5'!$Z$138</definedName>
    <definedName name="SCDPT5_96BEGIN_25" localSheetId="4">'GMIC_2020-Annu_SCDPT5'!$AA$138</definedName>
    <definedName name="SCDPT5_96BEGIN_26" localSheetId="4">'GMIC_2020-Annu_SCDPT5'!$AB$138</definedName>
    <definedName name="SCDPT5_96BEGIN_3" localSheetId="4">'GMIC_2020-Annu_SCDPT5'!$E$138</definedName>
    <definedName name="SCDPT5_96BEGIN_4" localSheetId="4">'GMIC_2020-Annu_SCDPT5'!$F$138</definedName>
    <definedName name="SCDPT5_96BEGIN_5" localSheetId="4">'GMIC_2020-Annu_SCDPT5'!$G$138</definedName>
    <definedName name="SCDPT5_96BEGIN_6" localSheetId="4">'GMIC_2020-Annu_SCDPT5'!$H$138</definedName>
    <definedName name="SCDPT5_96BEGIN_7" localSheetId="4">'GMIC_2020-Annu_SCDPT5'!$I$138</definedName>
    <definedName name="SCDPT5_96BEGIN_8" localSheetId="4">'GMIC_2020-Annu_SCDPT5'!$J$138</definedName>
    <definedName name="SCDPT5_96BEGIN_9" localSheetId="4">'GMIC_2020-Annu_SCDPT5'!$K$138</definedName>
    <definedName name="SCDPT5_96ENDIN_10" localSheetId="4">'GMIC_2020-Annu_SCDPT5'!$L$140</definedName>
    <definedName name="SCDPT5_96ENDIN_11" localSheetId="4">'GMIC_2020-Annu_SCDPT5'!$M$140</definedName>
    <definedName name="SCDPT5_96ENDIN_12" localSheetId="4">'GMIC_2020-Annu_SCDPT5'!$N$140</definedName>
    <definedName name="SCDPT5_96ENDIN_13" localSheetId="4">'GMIC_2020-Annu_SCDPT5'!$O$140</definedName>
    <definedName name="SCDPT5_96ENDIN_14" localSheetId="4">'GMIC_2020-Annu_SCDPT5'!$P$140</definedName>
    <definedName name="SCDPT5_96ENDIN_15" localSheetId="4">'GMIC_2020-Annu_SCDPT5'!$Q$140</definedName>
    <definedName name="SCDPT5_96ENDIN_16" localSheetId="4">'GMIC_2020-Annu_SCDPT5'!$R$140</definedName>
    <definedName name="SCDPT5_96ENDIN_17" localSheetId="4">'GMIC_2020-Annu_SCDPT5'!$S$140</definedName>
    <definedName name="SCDPT5_96ENDIN_18" localSheetId="4">'GMIC_2020-Annu_SCDPT5'!$T$140</definedName>
    <definedName name="SCDPT5_96ENDIN_19" localSheetId="4">'GMIC_2020-Annu_SCDPT5'!$U$140</definedName>
    <definedName name="SCDPT5_96ENDIN_2" localSheetId="4">'GMIC_2020-Annu_SCDPT5'!$D$140</definedName>
    <definedName name="SCDPT5_96ENDIN_20" localSheetId="4">'GMIC_2020-Annu_SCDPT5'!$V$140</definedName>
    <definedName name="SCDPT5_96ENDIN_21" localSheetId="4">'GMIC_2020-Annu_SCDPT5'!$W$140</definedName>
    <definedName name="SCDPT5_96ENDIN_22" localSheetId="4">'GMIC_2020-Annu_SCDPT5'!$X$140</definedName>
    <definedName name="SCDPT5_96ENDIN_23" localSheetId="4">'GMIC_2020-Annu_SCDPT5'!$Y$140</definedName>
    <definedName name="SCDPT5_96ENDIN_24" localSheetId="4">'GMIC_2020-Annu_SCDPT5'!$Z$140</definedName>
    <definedName name="SCDPT5_96ENDIN_25" localSheetId="4">'GMIC_2020-Annu_SCDPT5'!$AA$140</definedName>
    <definedName name="SCDPT5_96ENDIN_26" localSheetId="4">'GMIC_2020-Annu_SCDPT5'!$AB$140</definedName>
    <definedName name="SCDPT5_96ENDIN_3" localSheetId="4">'GMIC_2020-Annu_SCDPT5'!$E$140</definedName>
    <definedName name="SCDPT5_96ENDIN_4" localSheetId="4">'GMIC_2020-Annu_SCDPT5'!$F$140</definedName>
    <definedName name="SCDPT5_96ENDIN_5" localSheetId="4">'GMIC_2020-Annu_SCDPT5'!$G$140</definedName>
    <definedName name="SCDPT5_96ENDIN_6" localSheetId="4">'GMIC_2020-Annu_SCDPT5'!$H$140</definedName>
    <definedName name="SCDPT5_96ENDIN_7" localSheetId="4">'GMIC_2020-Annu_SCDPT5'!$I$140</definedName>
    <definedName name="SCDPT5_96ENDIN_8" localSheetId="4">'GMIC_2020-Annu_SCDPT5'!$J$140</definedName>
    <definedName name="SCDPT5_96ENDIN_9" localSheetId="4">'GMIC_2020-Annu_SCDPT5'!$K$140</definedName>
    <definedName name="SCDPT5_9799998_10" localSheetId="4">'GMIC_2020-Annu_SCDPT5'!$L$142</definedName>
    <definedName name="SCDPT5_9799998_11" localSheetId="4">'GMIC_2020-Annu_SCDPT5'!$M$142</definedName>
    <definedName name="SCDPT5_9799998_12" localSheetId="4">'GMIC_2020-Annu_SCDPT5'!$N$142</definedName>
    <definedName name="SCDPT5_9799998_13" localSheetId="4">'GMIC_2020-Annu_SCDPT5'!$O$142</definedName>
    <definedName name="SCDPT5_9799998_14" localSheetId="4">'GMIC_2020-Annu_SCDPT5'!$P$142</definedName>
    <definedName name="SCDPT5_9799998_15" localSheetId="4">'GMIC_2020-Annu_SCDPT5'!$Q$142</definedName>
    <definedName name="SCDPT5_9799998_16" localSheetId="4">'GMIC_2020-Annu_SCDPT5'!$R$142</definedName>
    <definedName name="SCDPT5_9799998_17" localSheetId="4">'GMIC_2020-Annu_SCDPT5'!$S$142</definedName>
    <definedName name="SCDPT5_9799998_18" localSheetId="4">'GMIC_2020-Annu_SCDPT5'!$T$142</definedName>
    <definedName name="SCDPT5_9799998_19" localSheetId="4">'GMIC_2020-Annu_SCDPT5'!$U$142</definedName>
    <definedName name="SCDPT5_9799998_20" localSheetId="4">'GMIC_2020-Annu_SCDPT5'!$V$142</definedName>
    <definedName name="SCDPT5_9799998_21" localSheetId="4">'GMIC_2020-Annu_SCDPT5'!$W$142</definedName>
    <definedName name="SCDPT5_9799998_9" localSheetId="4">'GMIC_2020-Annu_SCDPT5'!$K$142</definedName>
    <definedName name="SCDPT5_9899999_10" localSheetId="4">'GMIC_2020-Annu_SCDPT5'!$L$143</definedName>
    <definedName name="SCDPT5_9899999_11" localSheetId="4">'GMIC_2020-Annu_SCDPT5'!$M$143</definedName>
    <definedName name="SCDPT5_9899999_12" localSheetId="4">'GMIC_2020-Annu_SCDPT5'!$N$143</definedName>
    <definedName name="SCDPT5_9899999_13" localSheetId="4">'GMIC_2020-Annu_SCDPT5'!$O$143</definedName>
    <definedName name="SCDPT5_9899999_14" localSheetId="4">'GMIC_2020-Annu_SCDPT5'!$P$143</definedName>
    <definedName name="SCDPT5_9899999_15" localSheetId="4">'GMIC_2020-Annu_SCDPT5'!$Q$143</definedName>
    <definedName name="SCDPT5_9899999_16" localSheetId="4">'GMIC_2020-Annu_SCDPT5'!$R$143</definedName>
    <definedName name="SCDPT5_9899999_17" localSheetId="4">'GMIC_2020-Annu_SCDPT5'!$S$143</definedName>
    <definedName name="SCDPT5_9899999_18" localSheetId="4">'GMIC_2020-Annu_SCDPT5'!$T$143</definedName>
    <definedName name="SCDPT5_9899999_19" localSheetId="4">'GMIC_2020-Annu_SCDPT5'!$U$143</definedName>
    <definedName name="SCDPT5_9899999_20" localSheetId="4">'GMIC_2020-Annu_SCDPT5'!$V$143</definedName>
    <definedName name="SCDPT5_9899999_21" localSheetId="4">'GMIC_2020-Annu_SCDPT5'!$W$143</definedName>
    <definedName name="SCDPT5_9899999_9" localSheetId="4">'GMIC_2020-Annu_SCDPT5'!$K$143</definedName>
    <definedName name="SCDPT5_9999999_10" localSheetId="4">'GMIC_2020-Annu_SCDPT5'!$L$144</definedName>
    <definedName name="SCDPT5_9999999_11" localSheetId="4">'GMIC_2020-Annu_SCDPT5'!$M$144</definedName>
    <definedName name="SCDPT5_9999999_12" localSheetId="4">'GMIC_2020-Annu_SCDPT5'!$N$144</definedName>
    <definedName name="SCDPT5_9999999_13" localSheetId="4">'GMIC_2020-Annu_SCDPT5'!$O$144</definedName>
    <definedName name="SCDPT5_9999999_14" localSheetId="4">'GMIC_2020-Annu_SCDPT5'!$P$144</definedName>
    <definedName name="SCDPT5_9999999_15" localSheetId="4">'GMIC_2020-Annu_SCDPT5'!$Q$144</definedName>
    <definedName name="SCDPT5_9999999_16" localSheetId="4">'GMIC_2020-Annu_SCDPT5'!$R$144</definedName>
    <definedName name="SCDPT5_9999999_17" localSheetId="4">'GMIC_2020-Annu_SCDPT5'!$S$144</definedName>
    <definedName name="SCDPT5_9999999_18" localSheetId="4">'GMIC_2020-Annu_SCDPT5'!$T$144</definedName>
    <definedName name="SCDPT5_9999999_19" localSheetId="4">'GMIC_2020-Annu_SCDPT5'!$U$144</definedName>
    <definedName name="SCDPT5_9999999_20" localSheetId="4">'GMIC_2020-Annu_SCDPT5'!$V$144</definedName>
    <definedName name="SCDPT5_9999999_21" localSheetId="4">'GMIC_2020-Annu_SCDPT5'!$W$144</definedName>
    <definedName name="SCDPT5_9999999_9" localSheetId="4">'GMIC_2020-Annu_SCDPT5'!$K$144</definedName>
    <definedName name="SCDPT6SN1_0100000_Range" localSheetId="5">'GMIC_2020-Annu_SCDPT6SN1'!$B$7:$R$9</definedName>
    <definedName name="SCDPT6SN1_0199999_10" localSheetId="5">'GMIC_2020-Annu_SCDPT6SN1'!$L$10</definedName>
    <definedName name="SCDPT6SN1_0199999_8" localSheetId="5">'GMIC_2020-Annu_SCDPT6SN1'!$J$10</definedName>
    <definedName name="SCDPT6SN1_0199999_9" localSheetId="5">'GMIC_2020-Annu_SCDPT6SN1'!$K$10</definedName>
    <definedName name="SCDPT6SN1_01BEGIN_1" localSheetId="5">'GMIC_2020-Annu_SCDPT6SN1'!$C$7</definedName>
    <definedName name="SCDPT6SN1_01BEGIN_10" localSheetId="5">'GMIC_2020-Annu_SCDPT6SN1'!$L$7</definedName>
    <definedName name="SCDPT6SN1_01BEGIN_11" localSheetId="5">'GMIC_2020-Annu_SCDPT6SN1'!$M$7</definedName>
    <definedName name="SCDPT6SN1_01BEGIN_12" localSheetId="5">'GMIC_2020-Annu_SCDPT6SN1'!$N$7</definedName>
    <definedName name="SCDPT6SN1_01BEGIN_13" localSheetId="5">'GMIC_2020-Annu_SCDPT6SN1'!$O$7</definedName>
    <definedName name="SCDPT6SN1_01BEGIN_14" localSheetId="5">'GMIC_2020-Annu_SCDPT6SN1'!$P$7</definedName>
    <definedName name="SCDPT6SN1_01BEGIN_15" localSheetId="5">'GMIC_2020-Annu_SCDPT6SN1'!$Q$7</definedName>
    <definedName name="SCDPT6SN1_01BEGIN_16" localSheetId="5">'GMIC_2020-Annu_SCDPT6SN1'!$R$7</definedName>
    <definedName name="SCDPT6SN1_01BEGIN_2" localSheetId="5">'GMIC_2020-Annu_SCDPT6SN1'!$D$7</definedName>
    <definedName name="SCDPT6SN1_01BEGIN_3" localSheetId="5">'GMIC_2020-Annu_SCDPT6SN1'!$E$7</definedName>
    <definedName name="SCDPT6SN1_01BEGIN_4" localSheetId="5">'GMIC_2020-Annu_SCDPT6SN1'!$F$7</definedName>
    <definedName name="SCDPT6SN1_01BEGIN_5" localSheetId="5">'GMIC_2020-Annu_SCDPT6SN1'!$G$7</definedName>
    <definedName name="SCDPT6SN1_01BEGIN_6" localSheetId="5">'GMIC_2020-Annu_SCDPT6SN1'!$H$7</definedName>
    <definedName name="SCDPT6SN1_01BEGIN_7" localSheetId="5">'GMIC_2020-Annu_SCDPT6SN1'!$I$7</definedName>
    <definedName name="SCDPT6SN1_01BEGIN_8" localSheetId="5">'GMIC_2020-Annu_SCDPT6SN1'!$J$7</definedName>
    <definedName name="SCDPT6SN1_01BEGIN_9" localSheetId="5">'GMIC_2020-Annu_SCDPT6SN1'!$K$7</definedName>
    <definedName name="SCDPT6SN1_01ENDIN_10" localSheetId="5">'GMIC_2020-Annu_SCDPT6SN1'!$L$9</definedName>
    <definedName name="SCDPT6SN1_01ENDIN_11" localSheetId="5">'GMIC_2020-Annu_SCDPT6SN1'!$M$9</definedName>
    <definedName name="SCDPT6SN1_01ENDIN_12" localSheetId="5">'GMIC_2020-Annu_SCDPT6SN1'!$N$9</definedName>
    <definedName name="SCDPT6SN1_01ENDIN_13" localSheetId="5">'GMIC_2020-Annu_SCDPT6SN1'!$O$9</definedName>
    <definedName name="SCDPT6SN1_01ENDIN_14" localSheetId="5">'GMIC_2020-Annu_SCDPT6SN1'!$P$9</definedName>
    <definedName name="SCDPT6SN1_01ENDIN_15" localSheetId="5">'GMIC_2020-Annu_SCDPT6SN1'!$Q$9</definedName>
    <definedName name="SCDPT6SN1_01ENDIN_16" localSheetId="5">'GMIC_2020-Annu_SCDPT6SN1'!$R$9</definedName>
    <definedName name="SCDPT6SN1_01ENDIN_2" localSheetId="5">'GMIC_2020-Annu_SCDPT6SN1'!$D$9</definedName>
    <definedName name="SCDPT6SN1_01ENDIN_3" localSheetId="5">'GMIC_2020-Annu_SCDPT6SN1'!$E$9</definedName>
    <definedName name="SCDPT6SN1_01ENDIN_4" localSheetId="5">'GMIC_2020-Annu_SCDPT6SN1'!$F$9</definedName>
    <definedName name="SCDPT6SN1_01ENDIN_5" localSheetId="5">'GMIC_2020-Annu_SCDPT6SN1'!$G$9</definedName>
    <definedName name="SCDPT6SN1_01ENDIN_6" localSheetId="5">'GMIC_2020-Annu_SCDPT6SN1'!$H$9</definedName>
    <definedName name="SCDPT6SN1_01ENDIN_7" localSheetId="5">'GMIC_2020-Annu_SCDPT6SN1'!$I$9</definedName>
    <definedName name="SCDPT6SN1_01ENDIN_8" localSheetId="5">'GMIC_2020-Annu_SCDPT6SN1'!$J$9</definedName>
    <definedName name="SCDPT6SN1_01ENDIN_9" localSheetId="5">'GMIC_2020-Annu_SCDPT6SN1'!$K$9</definedName>
    <definedName name="SCDPT6SN1_0200000_Range" localSheetId="5">'GMIC_2020-Annu_SCDPT6SN1'!$B$11:$R$13</definedName>
    <definedName name="SCDPT6SN1_0299999_10" localSheetId="5">'GMIC_2020-Annu_SCDPT6SN1'!$L$14</definedName>
    <definedName name="SCDPT6SN1_0299999_8" localSheetId="5">'GMIC_2020-Annu_SCDPT6SN1'!$J$14</definedName>
    <definedName name="SCDPT6SN1_0299999_9" localSheetId="5">'GMIC_2020-Annu_SCDPT6SN1'!$K$14</definedName>
    <definedName name="SCDPT6SN1_02BEGIN_1" localSheetId="5">'GMIC_2020-Annu_SCDPT6SN1'!$C$11</definedName>
    <definedName name="SCDPT6SN1_02BEGIN_10" localSheetId="5">'GMIC_2020-Annu_SCDPT6SN1'!$L$11</definedName>
    <definedName name="SCDPT6SN1_02BEGIN_11" localSheetId="5">'GMIC_2020-Annu_SCDPT6SN1'!$M$11</definedName>
    <definedName name="SCDPT6SN1_02BEGIN_12" localSheetId="5">'GMIC_2020-Annu_SCDPT6SN1'!$N$11</definedName>
    <definedName name="SCDPT6SN1_02BEGIN_13" localSheetId="5">'GMIC_2020-Annu_SCDPT6SN1'!$O$11</definedName>
    <definedName name="SCDPT6SN1_02BEGIN_14" localSheetId="5">'GMIC_2020-Annu_SCDPT6SN1'!$P$11</definedName>
    <definedName name="SCDPT6SN1_02BEGIN_15" localSheetId="5">'GMIC_2020-Annu_SCDPT6SN1'!$Q$11</definedName>
    <definedName name="SCDPT6SN1_02BEGIN_16" localSheetId="5">'GMIC_2020-Annu_SCDPT6SN1'!$R$11</definedName>
    <definedName name="SCDPT6SN1_02BEGIN_2" localSheetId="5">'GMIC_2020-Annu_SCDPT6SN1'!$D$11</definedName>
    <definedName name="SCDPT6SN1_02BEGIN_3" localSheetId="5">'GMIC_2020-Annu_SCDPT6SN1'!$E$11</definedName>
    <definedName name="SCDPT6SN1_02BEGIN_4" localSheetId="5">'GMIC_2020-Annu_SCDPT6SN1'!$F$11</definedName>
    <definedName name="SCDPT6SN1_02BEGIN_5" localSheetId="5">'GMIC_2020-Annu_SCDPT6SN1'!$G$11</definedName>
    <definedName name="SCDPT6SN1_02BEGIN_6" localSheetId="5">'GMIC_2020-Annu_SCDPT6SN1'!$H$11</definedName>
    <definedName name="SCDPT6SN1_02BEGIN_7" localSheetId="5">'GMIC_2020-Annu_SCDPT6SN1'!$I$11</definedName>
    <definedName name="SCDPT6SN1_02BEGIN_8" localSheetId="5">'GMIC_2020-Annu_SCDPT6SN1'!$J$11</definedName>
    <definedName name="SCDPT6SN1_02BEGIN_9" localSheetId="5">'GMIC_2020-Annu_SCDPT6SN1'!$K$11</definedName>
    <definedName name="SCDPT6SN1_02ENDIN_10" localSheetId="5">'GMIC_2020-Annu_SCDPT6SN1'!$L$13</definedName>
    <definedName name="SCDPT6SN1_02ENDIN_11" localSheetId="5">'GMIC_2020-Annu_SCDPT6SN1'!$M$13</definedName>
    <definedName name="SCDPT6SN1_02ENDIN_12" localSheetId="5">'GMIC_2020-Annu_SCDPT6SN1'!$N$13</definedName>
    <definedName name="SCDPT6SN1_02ENDIN_13" localSheetId="5">'GMIC_2020-Annu_SCDPT6SN1'!$O$13</definedName>
    <definedName name="SCDPT6SN1_02ENDIN_14" localSheetId="5">'GMIC_2020-Annu_SCDPT6SN1'!$P$13</definedName>
    <definedName name="SCDPT6SN1_02ENDIN_15" localSheetId="5">'GMIC_2020-Annu_SCDPT6SN1'!$Q$13</definedName>
    <definedName name="SCDPT6SN1_02ENDIN_16" localSheetId="5">'GMIC_2020-Annu_SCDPT6SN1'!$R$13</definedName>
    <definedName name="SCDPT6SN1_02ENDIN_2" localSheetId="5">'GMIC_2020-Annu_SCDPT6SN1'!$D$13</definedName>
    <definedName name="SCDPT6SN1_02ENDIN_3" localSheetId="5">'GMIC_2020-Annu_SCDPT6SN1'!$E$13</definedName>
    <definedName name="SCDPT6SN1_02ENDIN_4" localSheetId="5">'GMIC_2020-Annu_SCDPT6SN1'!$F$13</definedName>
    <definedName name="SCDPT6SN1_02ENDIN_5" localSheetId="5">'GMIC_2020-Annu_SCDPT6SN1'!$G$13</definedName>
    <definedName name="SCDPT6SN1_02ENDIN_6" localSheetId="5">'GMIC_2020-Annu_SCDPT6SN1'!$H$13</definedName>
    <definedName name="SCDPT6SN1_02ENDIN_7" localSheetId="5">'GMIC_2020-Annu_SCDPT6SN1'!$I$13</definedName>
    <definedName name="SCDPT6SN1_02ENDIN_8" localSheetId="5">'GMIC_2020-Annu_SCDPT6SN1'!$J$13</definedName>
    <definedName name="SCDPT6SN1_02ENDIN_9" localSheetId="5">'GMIC_2020-Annu_SCDPT6SN1'!$K$13</definedName>
    <definedName name="SCDPT6SN1_0300000_Range" localSheetId="5">'GMIC_2020-Annu_SCDPT6SN1'!$B$15:$R$17</definedName>
    <definedName name="SCDPT6SN1_0399999_10" localSheetId="5">'GMIC_2020-Annu_SCDPT6SN1'!$L$18</definedName>
    <definedName name="SCDPT6SN1_0399999_8" localSheetId="5">'GMIC_2020-Annu_SCDPT6SN1'!$J$18</definedName>
    <definedName name="SCDPT6SN1_0399999_9" localSheetId="5">'GMIC_2020-Annu_SCDPT6SN1'!$K$18</definedName>
    <definedName name="SCDPT6SN1_03BEGIN_1" localSheetId="5">'GMIC_2020-Annu_SCDPT6SN1'!$C$15</definedName>
    <definedName name="SCDPT6SN1_03BEGIN_10" localSheetId="5">'GMIC_2020-Annu_SCDPT6SN1'!$L$15</definedName>
    <definedName name="SCDPT6SN1_03BEGIN_11" localSheetId="5">'GMIC_2020-Annu_SCDPT6SN1'!$M$15</definedName>
    <definedName name="SCDPT6SN1_03BEGIN_12" localSheetId="5">'GMIC_2020-Annu_SCDPT6SN1'!$N$15</definedName>
    <definedName name="SCDPT6SN1_03BEGIN_13" localSheetId="5">'GMIC_2020-Annu_SCDPT6SN1'!$O$15</definedName>
    <definedName name="SCDPT6SN1_03BEGIN_14" localSheetId="5">'GMIC_2020-Annu_SCDPT6SN1'!$P$15</definedName>
    <definedName name="SCDPT6SN1_03BEGIN_15" localSheetId="5">'GMIC_2020-Annu_SCDPT6SN1'!$Q$15</definedName>
    <definedName name="SCDPT6SN1_03BEGIN_16" localSheetId="5">'GMIC_2020-Annu_SCDPT6SN1'!$R$15</definedName>
    <definedName name="SCDPT6SN1_03BEGIN_2" localSheetId="5">'GMIC_2020-Annu_SCDPT6SN1'!$D$15</definedName>
    <definedName name="SCDPT6SN1_03BEGIN_3" localSheetId="5">'GMIC_2020-Annu_SCDPT6SN1'!$E$15</definedName>
    <definedName name="SCDPT6SN1_03BEGIN_4" localSheetId="5">'GMIC_2020-Annu_SCDPT6SN1'!$F$15</definedName>
    <definedName name="SCDPT6SN1_03BEGIN_5" localSheetId="5">'GMIC_2020-Annu_SCDPT6SN1'!$G$15</definedName>
    <definedName name="SCDPT6SN1_03BEGIN_6" localSheetId="5">'GMIC_2020-Annu_SCDPT6SN1'!$H$15</definedName>
    <definedName name="SCDPT6SN1_03BEGIN_7" localSheetId="5">'GMIC_2020-Annu_SCDPT6SN1'!$I$15</definedName>
    <definedName name="SCDPT6SN1_03BEGIN_8" localSheetId="5">'GMIC_2020-Annu_SCDPT6SN1'!$J$15</definedName>
    <definedName name="SCDPT6SN1_03BEGIN_9" localSheetId="5">'GMIC_2020-Annu_SCDPT6SN1'!$K$15</definedName>
    <definedName name="SCDPT6SN1_03ENDIN_10" localSheetId="5">'GMIC_2020-Annu_SCDPT6SN1'!$L$17</definedName>
    <definedName name="SCDPT6SN1_03ENDIN_11" localSheetId="5">'GMIC_2020-Annu_SCDPT6SN1'!$M$17</definedName>
    <definedName name="SCDPT6SN1_03ENDIN_12" localSheetId="5">'GMIC_2020-Annu_SCDPT6SN1'!$N$17</definedName>
    <definedName name="SCDPT6SN1_03ENDIN_13" localSheetId="5">'GMIC_2020-Annu_SCDPT6SN1'!$O$17</definedName>
    <definedName name="SCDPT6SN1_03ENDIN_14" localSheetId="5">'GMIC_2020-Annu_SCDPT6SN1'!$P$17</definedName>
    <definedName name="SCDPT6SN1_03ENDIN_15" localSheetId="5">'GMIC_2020-Annu_SCDPT6SN1'!$Q$17</definedName>
    <definedName name="SCDPT6SN1_03ENDIN_16" localSheetId="5">'GMIC_2020-Annu_SCDPT6SN1'!$R$17</definedName>
    <definedName name="SCDPT6SN1_03ENDIN_2" localSheetId="5">'GMIC_2020-Annu_SCDPT6SN1'!$D$17</definedName>
    <definedName name="SCDPT6SN1_03ENDIN_3" localSheetId="5">'GMIC_2020-Annu_SCDPT6SN1'!$E$17</definedName>
    <definedName name="SCDPT6SN1_03ENDIN_4" localSheetId="5">'GMIC_2020-Annu_SCDPT6SN1'!$F$17</definedName>
    <definedName name="SCDPT6SN1_03ENDIN_5" localSheetId="5">'GMIC_2020-Annu_SCDPT6SN1'!$G$17</definedName>
    <definedName name="SCDPT6SN1_03ENDIN_6" localSheetId="5">'GMIC_2020-Annu_SCDPT6SN1'!$H$17</definedName>
    <definedName name="SCDPT6SN1_03ENDIN_7" localSheetId="5">'GMIC_2020-Annu_SCDPT6SN1'!$I$17</definedName>
    <definedName name="SCDPT6SN1_03ENDIN_8" localSheetId="5">'GMIC_2020-Annu_SCDPT6SN1'!$J$17</definedName>
    <definedName name="SCDPT6SN1_03ENDIN_9" localSheetId="5">'GMIC_2020-Annu_SCDPT6SN1'!$K$17</definedName>
    <definedName name="SCDPT6SN1_0400000_Range" localSheetId="5">'GMIC_2020-Annu_SCDPT6SN1'!$B$19:$R$21</definedName>
    <definedName name="SCDPT6SN1_0499999_10" localSheetId="5">'GMIC_2020-Annu_SCDPT6SN1'!$L$22</definedName>
    <definedName name="SCDPT6SN1_0499999_8" localSheetId="5">'GMIC_2020-Annu_SCDPT6SN1'!$J$22</definedName>
    <definedName name="SCDPT6SN1_0499999_9" localSheetId="5">'GMIC_2020-Annu_SCDPT6SN1'!$K$22</definedName>
    <definedName name="SCDPT6SN1_04BEGIN_1" localSheetId="5">'GMIC_2020-Annu_SCDPT6SN1'!$C$19</definedName>
    <definedName name="SCDPT6SN1_04BEGIN_10" localSheetId="5">'GMIC_2020-Annu_SCDPT6SN1'!$L$19</definedName>
    <definedName name="SCDPT6SN1_04BEGIN_11" localSheetId="5">'GMIC_2020-Annu_SCDPT6SN1'!$M$19</definedName>
    <definedName name="SCDPT6SN1_04BEGIN_12" localSheetId="5">'GMIC_2020-Annu_SCDPT6SN1'!$N$19</definedName>
    <definedName name="SCDPT6SN1_04BEGIN_13" localSheetId="5">'GMIC_2020-Annu_SCDPT6SN1'!$O$19</definedName>
    <definedName name="SCDPT6SN1_04BEGIN_14" localSheetId="5">'GMIC_2020-Annu_SCDPT6SN1'!$P$19</definedName>
    <definedName name="SCDPT6SN1_04BEGIN_15" localSheetId="5">'GMIC_2020-Annu_SCDPT6SN1'!$Q$19</definedName>
    <definedName name="SCDPT6SN1_04BEGIN_16" localSheetId="5">'GMIC_2020-Annu_SCDPT6SN1'!$R$19</definedName>
    <definedName name="SCDPT6SN1_04BEGIN_2" localSheetId="5">'GMIC_2020-Annu_SCDPT6SN1'!$D$19</definedName>
    <definedName name="SCDPT6SN1_04BEGIN_3" localSheetId="5">'GMIC_2020-Annu_SCDPT6SN1'!$E$19</definedName>
    <definedName name="SCDPT6SN1_04BEGIN_4" localSheetId="5">'GMIC_2020-Annu_SCDPT6SN1'!$F$19</definedName>
    <definedName name="SCDPT6SN1_04BEGIN_5" localSheetId="5">'GMIC_2020-Annu_SCDPT6SN1'!$G$19</definedName>
    <definedName name="SCDPT6SN1_04BEGIN_6" localSheetId="5">'GMIC_2020-Annu_SCDPT6SN1'!$H$19</definedName>
    <definedName name="SCDPT6SN1_04BEGIN_7" localSheetId="5">'GMIC_2020-Annu_SCDPT6SN1'!$I$19</definedName>
    <definedName name="SCDPT6SN1_04BEGIN_8" localSheetId="5">'GMIC_2020-Annu_SCDPT6SN1'!$J$19</definedName>
    <definedName name="SCDPT6SN1_04BEGIN_9" localSheetId="5">'GMIC_2020-Annu_SCDPT6SN1'!$K$19</definedName>
    <definedName name="SCDPT6SN1_04ENDIN_10" localSheetId="5">'GMIC_2020-Annu_SCDPT6SN1'!$L$21</definedName>
    <definedName name="SCDPT6SN1_04ENDIN_11" localSheetId="5">'GMIC_2020-Annu_SCDPT6SN1'!$M$21</definedName>
    <definedName name="SCDPT6SN1_04ENDIN_12" localSheetId="5">'GMIC_2020-Annu_SCDPT6SN1'!$N$21</definedName>
    <definedName name="SCDPT6SN1_04ENDIN_13" localSheetId="5">'GMIC_2020-Annu_SCDPT6SN1'!$O$21</definedName>
    <definedName name="SCDPT6SN1_04ENDIN_14" localSheetId="5">'GMIC_2020-Annu_SCDPT6SN1'!$P$21</definedName>
    <definedName name="SCDPT6SN1_04ENDIN_15" localSheetId="5">'GMIC_2020-Annu_SCDPT6SN1'!$Q$21</definedName>
    <definedName name="SCDPT6SN1_04ENDIN_16" localSheetId="5">'GMIC_2020-Annu_SCDPT6SN1'!$R$21</definedName>
    <definedName name="SCDPT6SN1_04ENDIN_2" localSheetId="5">'GMIC_2020-Annu_SCDPT6SN1'!$D$21</definedName>
    <definedName name="SCDPT6SN1_04ENDIN_3" localSheetId="5">'GMIC_2020-Annu_SCDPT6SN1'!$E$21</definedName>
    <definedName name="SCDPT6SN1_04ENDIN_4" localSheetId="5">'GMIC_2020-Annu_SCDPT6SN1'!$F$21</definedName>
    <definedName name="SCDPT6SN1_04ENDIN_5" localSheetId="5">'GMIC_2020-Annu_SCDPT6SN1'!$G$21</definedName>
    <definedName name="SCDPT6SN1_04ENDIN_6" localSheetId="5">'GMIC_2020-Annu_SCDPT6SN1'!$H$21</definedName>
    <definedName name="SCDPT6SN1_04ENDIN_7" localSheetId="5">'GMIC_2020-Annu_SCDPT6SN1'!$I$21</definedName>
    <definedName name="SCDPT6SN1_04ENDIN_8" localSheetId="5">'GMIC_2020-Annu_SCDPT6SN1'!$J$21</definedName>
    <definedName name="SCDPT6SN1_04ENDIN_9" localSheetId="5">'GMIC_2020-Annu_SCDPT6SN1'!$K$21</definedName>
    <definedName name="SCDPT6SN1_0500000_Range" localSheetId="5">'GMIC_2020-Annu_SCDPT6SN1'!$B$23:$R$25</definedName>
    <definedName name="SCDPT6SN1_0599999_10" localSheetId="5">'GMIC_2020-Annu_SCDPT6SN1'!$L$26</definedName>
    <definedName name="SCDPT6SN1_0599999_8" localSheetId="5">'GMIC_2020-Annu_SCDPT6SN1'!$J$26</definedName>
    <definedName name="SCDPT6SN1_0599999_9" localSheetId="5">'GMIC_2020-Annu_SCDPT6SN1'!$K$26</definedName>
    <definedName name="SCDPT6SN1_05BEGIN_1" localSheetId="5">'GMIC_2020-Annu_SCDPT6SN1'!$C$23</definedName>
    <definedName name="SCDPT6SN1_05BEGIN_10" localSheetId="5">'GMIC_2020-Annu_SCDPT6SN1'!$L$23</definedName>
    <definedName name="SCDPT6SN1_05BEGIN_11" localSheetId="5">'GMIC_2020-Annu_SCDPT6SN1'!$M$23</definedName>
    <definedName name="SCDPT6SN1_05BEGIN_12" localSheetId="5">'GMIC_2020-Annu_SCDPT6SN1'!$N$23</definedName>
    <definedName name="SCDPT6SN1_05BEGIN_13" localSheetId="5">'GMIC_2020-Annu_SCDPT6SN1'!$O$23</definedName>
    <definedName name="SCDPT6SN1_05BEGIN_14" localSheetId="5">'GMIC_2020-Annu_SCDPT6SN1'!$P$23</definedName>
    <definedName name="SCDPT6SN1_05BEGIN_15" localSheetId="5">'GMIC_2020-Annu_SCDPT6SN1'!$Q$23</definedName>
    <definedName name="SCDPT6SN1_05BEGIN_16" localSheetId="5">'GMIC_2020-Annu_SCDPT6SN1'!$R$23</definedName>
    <definedName name="SCDPT6SN1_05BEGIN_2" localSheetId="5">'GMIC_2020-Annu_SCDPT6SN1'!$D$23</definedName>
    <definedName name="SCDPT6SN1_05BEGIN_3" localSheetId="5">'GMIC_2020-Annu_SCDPT6SN1'!$E$23</definedName>
    <definedName name="SCDPT6SN1_05BEGIN_4" localSheetId="5">'GMIC_2020-Annu_SCDPT6SN1'!$F$23</definedName>
    <definedName name="SCDPT6SN1_05BEGIN_5" localSheetId="5">'GMIC_2020-Annu_SCDPT6SN1'!$G$23</definedName>
    <definedName name="SCDPT6SN1_05BEGIN_6" localSheetId="5">'GMIC_2020-Annu_SCDPT6SN1'!$H$23</definedName>
    <definedName name="SCDPT6SN1_05BEGIN_7" localSheetId="5">'GMIC_2020-Annu_SCDPT6SN1'!$I$23</definedName>
    <definedName name="SCDPT6SN1_05BEGIN_8" localSheetId="5">'GMIC_2020-Annu_SCDPT6SN1'!$J$23</definedName>
    <definedName name="SCDPT6SN1_05BEGIN_9" localSheetId="5">'GMIC_2020-Annu_SCDPT6SN1'!$K$23</definedName>
    <definedName name="SCDPT6SN1_05ENDIN_10" localSheetId="5">'GMIC_2020-Annu_SCDPT6SN1'!$L$25</definedName>
    <definedName name="SCDPT6SN1_05ENDIN_11" localSheetId="5">'GMIC_2020-Annu_SCDPT6SN1'!$M$25</definedName>
    <definedName name="SCDPT6SN1_05ENDIN_12" localSheetId="5">'GMIC_2020-Annu_SCDPT6SN1'!$N$25</definedName>
    <definedName name="SCDPT6SN1_05ENDIN_13" localSheetId="5">'GMIC_2020-Annu_SCDPT6SN1'!$O$25</definedName>
    <definedName name="SCDPT6SN1_05ENDIN_14" localSheetId="5">'GMIC_2020-Annu_SCDPT6SN1'!$P$25</definedName>
    <definedName name="SCDPT6SN1_05ENDIN_15" localSheetId="5">'GMIC_2020-Annu_SCDPT6SN1'!$Q$25</definedName>
    <definedName name="SCDPT6SN1_05ENDIN_16" localSheetId="5">'GMIC_2020-Annu_SCDPT6SN1'!$R$25</definedName>
    <definedName name="SCDPT6SN1_05ENDIN_2" localSheetId="5">'GMIC_2020-Annu_SCDPT6SN1'!$D$25</definedName>
    <definedName name="SCDPT6SN1_05ENDIN_3" localSheetId="5">'GMIC_2020-Annu_SCDPT6SN1'!$E$25</definedName>
    <definedName name="SCDPT6SN1_05ENDIN_4" localSheetId="5">'GMIC_2020-Annu_SCDPT6SN1'!$F$25</definedName>
    <definedName name="SCDPT6SN1_05ENDIN_5" localSheetId="5">'GMIC_2020-Annu_SCDPT6SN1'!$G$25</definedName>
    <definedName name="SCDPT6SN1_05ENDIN_6" localSheetId="5">'GMIC_2020-Annu_SCDPT6SN1'!$H$25</definedName>
    <definedName name="SCDPT6SN1_05ENDIN_7" localSheetId="5">'GMIC_2020-Annu_SCDPT6SN1'!$I$25</definedName>
    <definedName name="SCDPT6SN1_05ENDIN_8" localSheetId="5">'GMIC_2020-Annu_SCDPT6SN1'!$J$25</definedName>
    <definedName name="SCDPT6SN1_05ENDIN_9" localSheetId="5">'GMIC_2020-Annu_SCDPT6SN1'!$K$25</definedName>
    <definedName name="SCDPT6SN1_0600000_Range" localSheetId="5">'GMIC_2020-Annu_SCDPT6SN1'!$B$27:$R$29</definedName>
    <definedName name="SCDPT6SN1_0699999_10" localSheetId="5">'GMIC_2020-Annu_SCDPT6SN1'!$L$30</definedName>
    <definedName name="SCDPT6SN1_0699999_8" localSheetId="5">'GMIC_2020-Annu_SCDPT6SN1'!$J$30</definedName>
    <definedName name="SCDPT6SN1_0699999_9" localSheetId="5">'GMIC_2020-Annu_SCDPT6SN1'!$K$30</definedName>
    <definedName name="SCDPT6SN1_06BEGIN_1" localSheetId="5">'GMIC_2020-Annu_SCDPT6SN1'!$C$27</definedName>
    <definedName name="SCDPT6SN1_06BEGIN_10" localSheetId="5">'GMIC_2020-Annu_SCDPT6SN1'!$L$27</definedName>
    <definedName name="SCDPT6SN1_06BEGIN_11" localSheetId="5">'GMIC_2020-Annu_SCDPT6SN1'!$M$27</definedName>
    <definedName name="SCDPT6SN1_06BEGIN_12" localSheetId="5">'GMIC_2020-Annu_SCDPT6SN1'!$N$27</definedName>
    <definedName name="SCDPT6SN1_06BEGIN_13" localSheetId="5">'GMIC_2020-Annu_SCDPT6SN1'!$O$27</definedName>
    <definedName name="SCDPT6SN1_06BEGIN_14" localSheetId="5">'GMIC_2020-Annu_SCDPT6SN1'!$P$27</definedName>
    <definedName name="SCDPT6SN1_06BEGIN_15" localSheetId="5">'GMIC_2020-Annu_SCDPT6SN1'!$Q$27</definedName>
    <definedName name="SCDPT6SN1_06BEGIN_16" localSheetId="5">'GMIC_2020-Annu_SCDPT6SN1'!$R$27</definedName>
    <definedName name="SCDPT6SN1_06BEGIN_2" localSheetId="5">'GMIC_2020-Annu_SCDPT6SN1'!$D$27</definedName>
    <definedName name="SCDPT6SN1_06BEGIN_3" localSheetId="5">'GMIC_2020-Annu_SCDPT6SN1'!$E$27</definedName>
    <definedName name="SCDPT6SN1_06BEGIN_4" localSheetId="5">'GMIC_2020-Annu_SCDPT6SN1'!$F$27</definedName>
    <definedName name="SCDPT6SN1_06BEGIN_5" localSheetId="5">'GMIC_2020-Annu_SCDPT6SN1'!$G$27</definedName>
    <definedName name="SCDPT6SN1_06BEGIN_6" localSheetId="5">'GMIC_2020-Annu_SCDPT6SN1'!$H$27</definedName>
    <definedName name="SCDPT6SN1_06BEGIN_7" localSheetId="5">'GMIC_2020-Annu_SCDPT6SN1'!$I$27</definedName>
    <definedName name="SCDPT6SN1_06BEGIN_8" localSheetId="5">'GMIC_2020-Annu_SCDPT6SN1'!$J$27</definedName>
    <definedName name="SCDPT6SN1_06BEGIN_9" localSheetId="5">'GMIC_2020-Annu_SCDPT6SN1'!$K$27</definedName>
    <definedName name="SCDPT6SN1_06ENDIN_10" localSheetId="5">'GMIC_2020-Annu_SCDPT6SN1'!$L$29</definedName>
    <definedName name="SCDPT6SN1_06ENDIN_11" localSheetId="5">'GMIC_2020-Annu_SCDPT6SN1'!$M$29</definedName>
    <definedName name="SCDPT6SN1_06ENDIN_12" localSheetId="5">'GMIC_2020-Annu_SCDPT6SN1'!$N$29</definedName>
    <definedName name="SCDPT6SN1_06ENDIN_13" localSheetId="5">'GMIC_2020-Annu_SCDPT6SN1'!$O$29</definedName>
    <definedName name="SCDPT6SN1_06ENDIN_14" localSheetId="5">'GMIC_2020-Annu_SCDPT6SN1'!$P$29</definedName>
    <definedName name="SCDPT6SN1_06ENDIN_15" localSheetId="5">'GMIC_2020-Annu_SCDPT6SN1'!$Q$29</definedName>
    <definedName name="SCDPT6SN1_06ENDIN_16" localSheetId="5">'GMIC_2020-Annu_SCDPT6SN1'!$R$29</definedName>
    <definedName name="SCDPT6SN1_06ENDIN_2" localSheetId="5">'GMIC_2020-Annu_SCDPT6SN1'!$D$29</definedName>
    <definedName name="SCDPT6SN1_06ENDIN_3" localSheetId="5">'GMIC_2020-Annu_SCDPT6SN1'!$E$29</definedName>
    <definedName name="SCDPT6SN1_06ENDIN_4" localSheetId="5">'GMIC_2020-Annu_SCDPT6SN1'!$F$29</definedName>
    <definedName name="SCDPT6SN1_06ENDIN_5" localSheetId="5">'GMIC_2020-Annu_SCDPT6SN1'!$G$29</definedName>
    <definedName name="SCDPT6SN1_06ENDIN_6" localSheetId="5">'GMIC_2020-Annu_SCDPT6SN1'!$H$29</definedName>
    <definedName name="SCDPT6SN1_06ENDIN_7" localSheetId="5">'GMIC_2020-Annu_SCDPT6SN1'!$I$29</definedName>
    <definedName name="SCDPT6SN1_06ENDIN_8" localSheetId="5">'GMIC_2020-Annu_SCDPT6SN1'!$J$29</definedName>
    <definedName name="SCDPT6SN1_06ENDIN_9" localSheetId="5">'GMIC_2020-Annu_SCDPT6SN1'!$K$29</definedName>
    <definedName name="SCDPT6SN1_0700000_Range" localSheetId="5">'GMIC_2020-Annu_SCDPT6SN1'!$B$31:$R$33</definedName>
    <definedName name="SCDPT6SN1_0799999_10" localSheetId="5">'GMIC_2020-Annu_SCDPT6SN1'!$L$34</definedName>
    <definedName name="SCDPT6SN1_0799999_8" localSheetId="5">'GMIC_2020-Annu_SCDPT6SN1'!$J$34</definedName>
    <definedName name="SCDPT6SN1_0799999_9" localSheetId="5">'GMIC_2020-Annu_SCDPT6SN1'!$K$34</definedName>
    <definedName name="SCDPT6SN1_07BEGIN_1" localSheetId="5">'GMIC_2020-Annu_SCDPT6SN1'!$C$31</definedName>
    <definedName name="SCDPT6SN1_07BEGIN_10" localSheetId="5">'GMIC_2020-Annu_SCDPT6SN1'!$L$31</definedName>
    <definedName name="SCDPT6SN1_07BEGIN_11" localSheetId="5">'GMIC_2020-Annu_SCDPT6SN1'!$M$31</definedName>
    <definedName name="SCDPT6SN1_07BEGIN_12" localSheetId="5">'GMIC_2020-Annu_SCDPT6SN1'!$N$31</definedName>
    <definedName name="SCDPT6SN1_07BEGIN_13" localSheetId="5">'GMIC_2020-Annu_SCDPT6SN1'!$O$31</definedName>
    <definedName name="SCDPT6SN1_07BEGIN_14" localSheetId="5">'GMIC_2020-Annu_SCDPT6SN1'!$P$31</definedName>
    <definedName name="SCDPT6SN1_07BEGIN_15" localSheetId="5">'GMIC_2020-Annu_SCDPT6SN1'!$Q$31</definedName>
    <definedName name="SCDPT6SN1_07BEGIN_16" localSheetId="5">'GMIC_2020-Annu_SCDPT6SN1'!$R$31</definedName>
    <definedName name="SCDPT6SN1_07BEGIN_2" localSheetId="5">'GMIC_2020-Annu_SCDPT6SN1'!$D$31</definedName>
    <definedName name="SCDPT6SN1_07BEGIN_3" localSheetId="5">'GMIC_2020-Annu_SCDPT6SN1'!$E$31</definedName>
    <definedName name="SCDPT6SN1_07BEGIN_4" localSheetId="5">'GMIC_2020-Annu_SCDPT6SN1'!$F$31</definedName>
    <definedName name="SCDPT6SN1_07BEGIN_5" localSheetId="5">'GMIC_2020-Annu_SCDPT6SN1'!$G$31</definedName>
    <definedName name="SCDPT6SN1_07BEGIN_6" localSheetId="5">'GMIC_2020-Annu_SCDPT6SN1'!$H$31</definedName>
    <definedName name="SCDPT6SN1_07BEGIN_7" localSheetId="5">'GMIC_2020-Annu_SCDPT6SN1'!$I$31</definedName>
    <definedName name="SCDPT6SN1_07BEGIN_8" localSheetId="5">'GMIC_2020-Annu_SCDPT6SN1'!$J$31</definedName>
    <definedName name="SCDPT6SN1_07BEGIN_9" localSheetId="5">'GMIC_2020-Annu_SCDPT6SN1'!$K$31</definedName>
    <definedName name="SCDPT6SN1_07ENDIN_10" localSheetId="5">'GMIC_2020-Annu_SCDPT6SN1'!$L$33</definedName>
    <definedName name="SCDPT6SN1_07ENDIN_11" localSheetId="5">'GMIC_2020-Annu_SCDPT6SN1'!$M$33</definedName>
    <definedName name="SCDPT6SN1_07ENDIN_12" localSheetId="5">'GMIC_2020-Annu_SCDPT6SN1'!$N$33</definedName>
    <definedName name="SCDPT6SN1_07ENDIN_13" localSheetId="5">'GMIC_2020-Annu_SCDPT6SN1'!$O$33</definedName>
    <definedName name="SCDPT6SN1_07ENDIN_14" localSheetId="5">'GMIC_2020-Annu_SCDPT6SN1'!$P$33</definedName>
    <definedName name="SCDPT6SN1_07ENDIN_15" localSheetId="5">'GMIC_2020-Annu_SCDPT6SN1'!$Q$33</definedName>
    <definedName name="SCDPT6SN1_07ENDIN_16" localSheetId="5">'GMIC_2020-Annu_SCDPT6SN1'!$R$33</definedName>
    <definedName name="SCDPT6SN1_07ENDIN_2" localSheetId="5">'GMIC_2020-Annu_SCDPT6SN1'!$D$33</definedName>
    <definedName name="SCDPT6SN1_07ENDIN_3" localSheetId="5">'GMIC_2020-Annu_SCDPT6SN1'!$E$33</definedName>
    <definedName name="SCDPT6SN1_07ENDIN_4" localSheetId="5">'GMIC_2020-Annu_SCDPT6SN1'!$F$33</definedName>
    <definedName name="SCDPT6SN1_07ENDIN_5" localSheetId="5">'GMIC_2020-Annu_SCDPT6SN1'!$G$33</definedName>
    <definedName name="SCDPT6SN1_07ENDIN_6" localSheetId="5">'GMIC_2020-Annu_SCDPT6SN1'!$H$33</definedName>
    <definedName name="SCDPT6SN1_07ENDIN_7" localSheetId="5">'GMIC_2020-Annu_SCDPT6SN1'!$I$33</definedName>
    <definedName name="SCDPT6SN1_07ENDIN_8" localSheetId="5">'GMIC_2020-Annu_SCDPT6SN1'!$J$33</definedName>
    <definedName name="SCDPT6SN1_07ENDIN_9" localSheetId="5">'GMIC_2020-Annu_SCDPT6SN1'!$K$33</definedName>
    <definedName name="SCDPT6SN1_0800000_Range" localSheetId="5">'GMIC_2020-Annu_SCDPT6SN1'!$B$35:$R$37</definedName>
    <definedName name="SCDPT6SN1_0899999_10" localSheetId="5">'GMIC_2020-Annu_SCDPT6SN1'!$L$38</definedName>
    <definedName name="SCDPT6SN1_0899999_8" localSheetId="5">'GMIC_2020-Annu_SCDPT6SN1'!$J$38</definedName>
    <definedName name="SCDPT6SN1_0899999_9" localSheetId="5">'GMIC_2020-Annu_SCDPT6SN1'!$K$38</definedName>
    <definedName name="SCDPT6SN1_08BEGIN_1" localSheetId="5">'GMIC_2020-Annu_SCDPT6SN1'!$C$35</definedName>
    <definedName name="SCDPT6SN1_08BEGIN_10" localSheetId="5">'GMIC_2020-Annu_SCDPT6SN1'!$L$35</definedName>
    <definedName name="SCDPT6SN1_08BEGIN_11" localSheetId="5">'GMIC_2020-Annu_SCDPT6SN1'!$M$35</definedName>
    <definedName name="SCDPT6SN1_08BEGIN_12" localSheetId="5">'GMIC_2020-Annu_SCDPT6SN1'!$N$35</definedName>
    <definedName name="SCDPT6SN1_08BEGIN_13" localSheetId="5">'GMIC_2020-Annu_SCDPT6SN1'!$O$35</definedName>
    <definedName name="SCDPT6SN1_08BEGIN_14" localSheetId="5">'GMIC_2020-Annu_SCDPT6SN1'!$P$35</definedName>
    <definedName name="SCDPT6SN1_08BEGIN_15" localSheetId="5">'GMIC_2020-Annu_SCDPT6SN1'!$Q$35</definedName>
    <definedName name="SCDPT6SN1_08BEGIN_16" localSheetId="5">'GMIC_2020-Annu_SCDPT6SN1'!$R$35</definedName>
    <definedName name="SCDPT6SN1_08BEGIN_2" localSheetId="5">'GMIC_2020-Annu_SCDPT6SN1'!$D$35</definedName>
    <definedName name="SCDPT6SN1_08BEGIN_3" localSheetId="5">'GMIC_2020-Annu_SCDPT6SN1'!$E$35</definedName>
    <definedName name="SCDPT6SN1_08BEGIN_4" localSheetId="5">'GMIC_2020-Annu_SCDPT6SN1'!$F$35</definedName>
    <definedName name="SCDPT6SN1_08BEGIN_5" localSheetId="5">'GMIC_2020-Annu_SCDPT6SN1'!$G$35</definedName>
    <definedName name="SCDPT6SN1_08BEGIN_6" localSheetId="5">'GMIC_2020-Annu_SCDPT6SN1'!$H$35</definedName>
    <definedName name="SCDPT6SN1_08BEGIN_7" localSheetId="5">'GMIC_2020-Annu_SCDPT6SN1'!$I$35</definedName>
    <definedName name="SCDPT6SN1_08BEGIN_8" localSheetId="5">'GMIC_2020-Annu_SCDPT6SN1'!$J$35</definedName>
    <definedName name="SCDPT6SN1_08BEGIN_9" localSheetId="5">'GMIC_2020-Annu_SCDPT6SN1'!$K$35</definedName>
    <definedName name="SCDPT6SN1_08ENDIN_10" localSheetId="5">'GMIC_2020-Annu_SCDPT6SN1'!$L$37</definedName>
    <definedName name="SCDPT6SN1_08ENDIN_11" localSheetId="5">'GMIC_2020-Annu_SCDPT6SN1'!$M$37</definedName>
    <definedName name="SCDPT6SN1_08ENDIN_12" localSheetId="5">'GMIC_2020-Annu_SCDPT6SN1'!$N$37</definedName>
    <definedName name="SCDPT6SN1_08ENDIN_13" localSheetId="5">'GMIC_2020-Annu_SCDPT6SN1'!$O$37</definedName>
    <definedName name="SCDPT6SN1_08ENDIN_14" localSheetId="5">'GMIC_2020-Annu_SCDPT6SN1'!$P$37</definedName>
    <definedName name="SCDPT6SN1_08ENDIN_15" localSheetId="5">'GMIC_2020-Annu_SCDPT6SN1'!$Q$37</definedName>
    <definedName name="SCDPT6SN1_08ENDIN_16" localSheetId="5">'GMIC_2020-Annu_SCDPT6SN1'!$R$37</definedName>
    <definedName name="SCDPT6SN1_08ENDIN_2" localSheetId="5">'GMIC_2020-Annu_SCDPT6SN1'!$D$37</definedName>
    <definedName name="SCDPT6SN1_08ENDIN_3" localSheetId="5">'GMIC_2020-Annu_SCDPT6SN1'!$E$37</definedName>
    <definedName name="SCDPT6SN1_08ENDIN_4" localSheetId="5">'GMIC_2020-Annu_SCDPT6SN1'!$F$37</definedName>
    <definedName name="SCDPT6SN1_08ENDIN_5" localSheetId="5">'GMIC_2020-Annu_SCDPT6SN1'!$G$37</definedName>
    <definedName name="SCDPT6SN1_08ENDIN_6" localSheetId="5">'GMIC_2020-Annu_SCDPT6SN1'!$H$37</definedName>
    <definedName name="SCDPT6SN1_08ENDIN_7" localSheetId="5">'GMIC_2020-Annu_SCDPT6SN1'!$I$37</definedName>
    <definedName name="SCDPT6SN1_08ENDIN_8" localSheetId="5">'GMIC_2020-Annu_SCDPT6SN1'!$J$37</definedName>
    <definedName name="SCDPT6SN1_08ENDIN_9" localSheetId="5">'GMIC_2020-Annu_SCDPT6SN1'!$K$37</definedName>
    <definedName name="SCDPT6SN1_0999999_10" localSheetId="5">'GMIC_2020-Annu_SCDPT6SN1'!$L$39</definedName>
    <definedName name="SCDPT6SN1_0999999_8" localSheetId="5">'GMIC_2020-Annu_SCDPT6SN1'!$J$39</definedName>
    <definedName name="SCDPT6SN1_0999999_9" localSheetId="5">'GMIC_2020-Annu_SCDPT6SN1'!$K$39</definedName>
    <definedName name="SCDPT6SN1_1000000_Range" localSheetId="5">'GMIC_2020-Annu_SCDPT6SN1'!$B$40:$R$42</definedName>
    <definedName name="SCDPT6SN1_1099999_10" localSheetId="5">'GMIC_2020-Annu_SCDPT6SN1'!$L$43</definedName>
    <definedName name="SCDPT6SN1_1099999_8" localSheetId="5">'GMIC_2020-Annu_SCDPT6SN1'!$J$43</definedName>
    <definedName name="SCDPT6SN1_1099999_9" localSheetId="5">'GMIC_2020-Annu_SCDPT6SN1'!$K$43</definedName>
    <definedName name="SCDPT6SN1_10BEGIN_1" localSheetId="5">'GMIC_2020-Annu_SCDPT6SN1'!$C$40</definedName>
    <definedName name="SCDPT6SN1_10BEGIN_10" localSheetId="5">'GMIC_2020-Annu_SCDPT6SN1'!$L$40</definedName>
    <definedName name="SCDPT6SN1_10BEGIN_11" localSheetId="5">'GMIC_2020-Annu_SCDPT6SN1'!$M$40</definedName>
    <definedName name="SCDPT6SN1_10BEGIN_12" localSheetId="5">'GMIC_2020-Annu_SCDPT6SN1'!$N$40</definedName>
    <definedName name="SCDPT6SN1_10BEGIN_13" localSheetId="5">'GMIC_2020-Annu_SCDPT6SN1'!$O$40</definedName>
    <definedName name="SCDPT6SN1_10BEGIN_14" localSheetId="5">'GMIC_2020-Annu_SCDPT6SN1'!$P$40</definedName>
    <definedName name="SCDPT6SN1_10BEGIN_15" localSheetId="5">'GMIC_2020-Annu_SCDPT6SN1'!$Q$40</definedName>
    <definedName name="SCDPT6SN1_10BEGIN_16" localSheetId="5">'GMIC_2020-Annu_SCDPT6SN1'!$R$40</definedName>
    <definedName name="SCDPT6SN1_10BEGIN_2" localSheetId="5">'GMIC_2020-Annu_SCDPT6SN1'!$D$40</definedName>
    <definedName name="SCDPT6SN1_10BEGIN_3" localSheetId="5">'GMIC_2020-Annu_SCDPT6SN1'!$E$40</definedName>
    <definedName name="SCDPT6SN1_10BEGIN_4" localSheetId="5">'GMIC_2020-Annu_SCDPT6SN1'!$F$40</definedName>
    <definedName name="SCDPT6SN1_10BEGIN_5" localSheetId="5">'GMIC_2020-Annu_SCDPT6SN1'!$G$40</definedName>
    <definedName name="SCDPT6SN1_10BEGIN_6" localSheetId="5">'GMIC_2020-Annu_SCDPT6SN1'!$H$40</definedName>
    <definedName name="SCDPT6SN1_10BEGIN_7" localSheetId="5">'GMIC_2020-Annu_SCDPT6SN1'!$I$40</definedName>
    <definedName name="SCDPT6SN1_10BEGIN_8" localSheetId="5">'GMIC_2020-Annu_SCDPT6SN1'!$J$40</definedName>
    <definedName name="SCDPT6SN1_10BEGIN_9" localSheetId="5">'GMIC_2020-Annu_SCDPT6SN1'!$K$40</definedName>
    <definedName name="SCDPT6SN1_10ENDIN_10" localSheetId="5">'GMIC_2020-Annu_SCDPT6SN1'!$L$42</definedName>
    <definedName name="SCDPT6SN1_10ENDIN_11" localSheetId="5">'GMIC_2020-Annu_SCDPT6SN1'!$M$42</definedName>
    <definedName name="SCDPT6SN1_10ENDIN_12" localSheetId="5">'GMIC_2020-Annu_SCDPT6SN1'!$N$42</definedName>
    <definedName name="SCDPT6SN1_10ENDIN_13" localSheetId="5">'GMIC_2020-Annu_SCDPT6SN1'!$O$42</definedName>
    <definedName name="SCDPT6SN1_10ENDIN_14" localSheetId="5">'GMIC_2020-Annu_SCDPT6SN1'!$P$42</definedName>
    <definedName name="SCDPT6SN1_10ENDIN_15" localSheetId="5">'GMIC_2020-Annu_SCDPT6SN1'!$Q$42</definedName>
    <definedName name="SCDPT6SN1_10ENDIN_16" localSheetId="5">'GMIC_2020-Annu_SCDPT6SN1'!$R$42</definedName>
    <definedName name="SCDPT6SN1_10ENDIN_2" localSheetId="5">'GMIC_2020-Annu_SCDPT6SN1'!$D$42</definedName>
    <definedName name="SCDPT6SN1_10ENDIN_3" localSheetId="5">'GMIC_2020-Annu_SCDPT6SN1'!$E$42</definedName>
    <definedName name="SCDPT6SN1_10ENDIN_4" localSheetId="5">'GMIC_2020-Annu_SCDPT6SN1'!$F$42</definedName>
    <definedName name="SCDPT6SN1_10ENDIN_5" localSheetId="5">'GMIC_2020-Annu_SCDPT6SN1'!$G$42</definedName>
    <definedName name="SCDPT6SN1_10ENDIN_6" localSheetId="5">'GMIC_2020-Annu_SCDPT6SN1'!$H$42</definedName>
    <definedName name="SCDPT6SN1_10ENDIN_7" localSheetId="5">'GMIC_2020-Annu_SCDPT6SN1'!$I$42</definedName>
    <definedName name="SCDPT6SN1_10ENDIN_8" localSheetId="5">'GMIC_2020-Annu_SCDPT6SN1'!$J$42</definedName>
    <definedName name="SCDPT6SN1_10ENDIN_9" localSheetId="5">'GMIC_2020-Annu_SCDPT6SN1'!$K$42</definedName>
    <definedName name="SCDPT6SN1_1100000_Range" localSheetId="5">'GMIC_2020-Annu_SCDPT6SN1'!$B$44:$R$46</definedName>
    <definedName name="SCDPT6SN1_1199999_10" localSheetId="5">'GMIC_2020-Annu_SCDPT6SN1'!$L$47</definedName>
    <definedName name="SCDPT6SN1_1199999_8" localSheetId="5">'GMIC_2020-Annu_SCDPT6SN1'!$J$47</definedName>
    <definedName name="SCDPT6SN1_1199999_9" localSheetId="5">'GMIC_2020-Annu_SCDPT6SN1'!$K$47</definedName>
    <definedName name="SCDPT6SN1_11BEGIN_1" localSheetId="5">'GMIC_2020-Annu_SCDPT6SN1'!$C$44</definedName>
    <definedName name="SCDPT6SN1_11BEGIN_10" localSheetId="5">'GMIC_2020-Annu_SCDPT6SN1'!$L$44</definedName>
    <definedName name="SCDPT6SN1_11BEGIN_11" localSheetId="5">'GMIC_2020-Annu_SCDPT6SN1'!$M$44</definedName>
    <definedName name="SCDPT6SN1_11BEGIN_12" localSheetId="5">'GMIC_2020-Annu_SCDPT6SN1'!$N$44</definedName>
    <definedName name="SCDPT6SN1_11BEGIN_13" localSheetId="5">'GMIC_2020-Annu_SCDPT6SN1'!$O$44</definedName>
    <definedName name="SCDPT6SN1_11BEGIN_14" localSheetId="5">'GMIC_2020-Annu_SCDPT6SN1'!$P$44</definedName>
    <definedName name="SCDPT6SN1_11BEGIN_15" localSheetId="5">'GMIC_2020-Annu_SCDPT6SN1'!$Q$44</definedName>
    <definedName name="SCDPT6SN1_11BEGIN_16" localSheetId="5">'GMIC_2020-Annu_SCDPT6SN1'!$R$44</definedName>
    <definedName name="SCDPT6SN1_11BEGIN_2" localSheetId="5">'GMIC_2020-Annu_SCDPT6SN1'!$D$44</definedName>
    <definedName name="SCDPT6SN1_11BEGIN_3" localSheetId="5">'GMIC_2020-Annu_SCDPT6SN1'!$E$44</definedName>
    <definedName name="SCDPT6SN1_11BEGIN_4" localSheetId="5">'GMIC_2020-Annu_SCDPT6SN1'!$F$44</definedName>
    <definedName name="SCDPT6SN1_11BEGIN_5" localSheetId="5">'GMIC_2020-Annu_SCDPT6SN1'!$G$44</definedName>
    <definedName name="SCDPT6SN1_11BEGIN_6" localSheetId="5">'GMIC_2020-Annu_SCDPT6SN1'!$H$44</definedName>
    <definedName name="SCDPT6SN1_11BEGIN_7" localSheetId="5">'GMIC_2020-Annu_SCDPT6SN1'!$I$44</definedName>
    <definedName name="SCDPT6SN1_11BEGIN_8" localSheetId="5">'GMIC_2020-Annu_SCDPT6SN1'!$J$44</definedName>
    <definedName name="SCDPT6SN1_11BEGIN_9" localSheetId="5">'GMIC_2020-Annu_SCDPT6SN1'!$K$44</definedName>
    <definedName name="SCDPT6SN1_11ENDIN_10" localSheetId="5">'GMIC_2020-Annu_SCDPT6SN1'!$L$46</definedName>
    <definedName name="SCDPT6SN1_11ENDIN_11" localSheetId="5">'GMIC_2020-Annu_SCDPT6SN1'!$M$46</definedName>
    <definedName name="SCDPT6SN1_11ENDIN_12" localSheetId="5">'GMIC_2020-Annu_SCDPT6SN1'!$N$46</definedName>
    <definedName name="SCDPT6SN1_11ENDIN_13" localSheetId="5">'GMIC_2020-Annu_SCDPT6SN1'!$O$46</definedName>
    <definedName name="SCDPT6SN1_11ENDIN_14" localSheetId="5">'GMIC_2020-Annu_SCDPT6SN1'!$P$46</definedName>
    <definedName name="SCDPT6SN1_11ENDIN_15" localSheetId="5">'GMIC_2020-Annu_SCDPT6SN1'!$Q$46</definedName>
    <definedName name="SCDPT6SN1_11ENDIN_16" localSheetId="5">'GMIC_2020-Annu_SCDPT6SN1'!$R$46</definedName>
    <definedName name="SCDPT6SN1_11ENDIN_2" localSheetId="5">'GMIC_2020-Annu_SCDPT6SN1'!$D$46</definedName>
    <definedName name="SCDPT6SN1_11ENDIN_3" localSheetId="5">'GMIC_2020-Annu_SCDPT6SN1'!$E$46</definedName>
    <definedName name="SCDPT6SN1_11ENDIN_4" localSheetId="5">'GMIC_2020-Annu_SCDPT6SN1'!$F$46</definedName>
    <definedName name="SCDPT6SN1_11ENDIN_5" localSheetId="5">'GMIC_2020-Annu_SCDPT6SN1'!$G$46</definedName>
    <definedName name="SCDPT6SN1_11ENDIN_6" localSheetId="5">'GMIC_2020-Annu_SCDPT6SN1'!$H$46</definedName>
    <definedName name="SCDPT6SN1_11ENDIN_7" localSheetId="5">'GMIC_2020-Annu_SCDPT6SN1'!$I$46</definedName>
    <definedName name="SCDPT6SN1_11ENDIN_8" localSheetId="5">'GMIC_2020-Annu_SCDPT6SN1'!$J$46</definedName>
    <definedName name="SCDPT6SN1_11ENDIN_9" localSheetId="5">'GMIC_2020-Annu_SCDPT6SN1'!$K$46</definedName>
    <definedName name="SCDPT6SN1_1200000_Range" localSheetId="5">'GMIC_2020-Annu_SCDPT6SN1'!$B$48:$R$50</definedName>
    <definedName name="SCDPT6SN1_1299999_10" localSheetId="5">'GMIC_2020-Annu_SCDPT6SN1'!$L$51</definedName>
    <definedName name="SCDPT6SN1_1299999_8" localSheetId="5">'GMIC_2020-Annu_SCDPT6SN1'!$J$51</definedName>
    <definedName name="SCDPT6SN1_1299999_9" localSheetId="5">'GMIC_2020-Annu_SCDPT6SN1'!$K$51</definedName>
    <definedName name="SCDPT6SN1_12BEGIN_1" localSheetId="5">'GMIC_2020-Annu_SCDPT6SN1'!$C$48</definedName>
    <definedName name="SCDPT6SN1_12BEGIN_10" localSheetId="5">'GMIC_2020-Annu_SCDPT6SN1'!$L$48</definedName>
    <definedName name="SCDPT6SN1_12BEGIN_11" localSheetId="5">'GMIC_2020-Annu_SCDPT6SN1'!$M$48</definedName>
    <definedName name="SCDPT6SN1_12BEGIN_12" localSheetId="5">'GMIC_2020-Annu_SCDPT6SN1'!$N$48</definedName>
    <definedName name="SCDPT6SN1_12BEGIN_13" localSheetId="5">'GMIC_2020-Annu_SCDPT6SN1'!$O$48</definedName>
    <definedName name="SCDPT6SN1_12BEGIN_14" localSheetId="5">'GMIC_2020-Annu_SCDPT6SN1'!$P$48</definedName>
    <definedName name="SCDPT6SN1_12BEGIN_15" localSheetId="5">'GMIC_2020-Annu_SCDPT6SN1'!$Q$48</definedName>
    <definedName name="SCDPT6SN1_12BEGIN_16" localSheetId="5">'GMIC_2020-Annu_SCDPT6SN1'!$R$48</definedName>
    <definedName name="SCDPT6SN1_12BEGIN_2" localSheetId="5">'GMIC_2020-Annu_SCDPT6SN1'!$D$48</definedName>
    <definedName name="SCDPT6SN1_12BEGIN_3" localSheetId="5">'GMIC_2020-Annu_SCDPT6SN1'!$E$48</definedName>
    <definedName name="SCDPT6SN1_12BEGIN_4" localSheetId="5">'GMIC_2020-Annu_SCDPT6SN1'!$F$48</definedName>
    <definedName name="SCDPT6SN1_12BEGIN_5" localSheetId="5">'GMIC_2020-Annu_SCDPT6SN1'!$G$48</definedName>
    <definedName name="SCDPT6SN1_12BEGIN_6" localSheetId="5">'GMIC_2020-Annu_SCDPT6SN1'!$H$48</definedName>
    <definedName name="SCDPT6SN1_12BEGIN_7" localSheetId="5">'GMIC_2020-Annu_SCDPT6SN1'!$I$48</definedName>
    <definedName name="SCDPT6SN1_12BEGIN_8" localSheetId="5">'GMIC_2020-Annu_SCDPT6SN1'!$J$48</definedName>
    <definedName name="SCDPT6SN1_12BEGIN_9" localSheetId="5">'GMIC_2020-Annu_SCDPT6SN1'!$K$48</definedName>
    <definedName name="SCDPT6SN1_12ENDIN_10" localSheetId="5">'GMIC_2020-Annu_SCDPT6SN1'!$L$50</definedName>
    <definedName name="SCDPT6SN1_12ENDIN_11" localSheetId="5">'GMIC_2020-Annu_SCDPT6SN1'!$M$50</definedName>
    <definedName name="SCDPT6SN1_12ENDIN_12" localSheetId="5">'GMIC_2020-Annu_SCDPT6SN1'!$N$50</definedName>
    <definedName name="SCDPT6SN1_12ENDIN_13" localSheetId="5">'GMIC_2020-Annu_SCDPT6SN1'!$O$50</definedName>
    <definedName name="SCDPT6SN1_12ENDIN_14" localSheetId="5">'GMIC_2020-Annu_SCDPT6SN1'!$P$50</definedName>
    <definedName name="SCDPT6SN1_12ENDIN_15" localSheetId="5">'GMIC_2020-Annu_SCDPT6SN1'!$Q$50</definedName>
    <definedName name="SCDPT6SN1_12ENDIN_16" localSheetId="5">'GMIC_2020-Annu_SCDPT6SN1'!$R$50</definedName>
    <definedName name="SCDPT6SN1_12ENDIN_2" localSheetId="5">'GMIC_2020-Annu_SCDPT6SN1'!$D$50</definedName>
    <definedName name="SCDPT6SN1_12ENDIN_3" localSheetId="5">'GMIC_2020-Annu_SCDPT6SN1'!$E$50</definedName>
    <definedName name="SCDPT6SN1_12ENDIN_4" localSheetId="5">'GMIC_2020-Annu_SCDPT6SN1'!$F$50</definedName>
    <definedName name="SCDPT6SN1_12ENDIN_5" localSheetId="5">'GMIC_2020-Annu_SCDPT6SN1'!$G$50</definedName>
    <definedName name="SCDPT6SN1_12ENDIN_6" localSheetId="5">'GMIC_2020-Annu_SCDPT6SN1'!$H$50</definedName>
    <definedName name="SCDPT6SN1_12ENDIN_7" localSheetId="5">'GMIC_2020-Annu_SCDPT6SN1'!$I$50</definedName>
    <definedName name="SCDPT6SN1_12ENDIN_8" localSheetId="5">'GMIC_2020-Annu_SCDPT6SN1'!$J$50</definedName>
    <definedName name="SCDPT6SN1_12ENDIN_9" localSheetId="5">'GMIC_2020-Annu_SCDPT6SN1'!$K$50</definedName>
    <definedName name="SCDPT6SN1_1300000_Range" localSheetId="5">'GMIC_2020-Annu_SCDPT6SN1'!$B$52:$R$54</definedName>
    <definedName name="SCDPT6SN1_1399999_10" localSheetId="5">'GMIC_2020-Annu_SCDPT6SN1'!$L$55</definedName>
    <definedName name="SCDPT6SN1_1399999_8" localSheetId="5">'GMIC_2020-Annu_SCDPT6SN1'!$J$55</definedName>
    <definedName name="SCDPT6SN1_1399999_9" localSheetId="5">'GMIC_2020-Annu_SCDPT6SN1'!$K$55</definedName>
    <definedName name="SCDPT6SN1_13BEGIN_1" localSheetId="5">'GMIC_2020-Annu_SCDPT6SN1'!$C$52</definedName>
    <definedName name="SCDPT6SN1_13BEGIN_10" localSheetId="5">'GMIC_2020-Annu_SCDPT6SN1'!$L$52</definedName>
    <definedName name="SCDPT6SN1_13BEGIN_11" localSheetId="5">'GMIC_2020-Annu_SCDPT6SN1'!$M$52</definedName>
    <definedName name="SCDPT6SN1_13BEGIN_12" localSheetId="5">'GMIC_2020-Annu_SCDPT6SN1'!$N$52</definedName>
    <definedName name="SCDPT6SN1_13BEGIN_13" localSheetId="5">'GMIC_2020-Annu_SCDPT6SN1'!$O$52</definedName>
    <definedName name="SCDPT6SN1_13BEGIN_14" localSheetId="5">'GMIC_2020-Annu_SCDPT6SN1'!$P$52</definedName>
    <definedName name="SCDPT6SN1_13BEGIN_15" localSheetId="5">'GMIC_2020-Annu_SCDPT6SN1'!$Q$52</definedName>
    <definedName name="SCDPT6SN1_13BEGIN_16" localSheetId="5">'GMIC_2020-Annu_SCDPT6SN1'!$R$52</definedName>
    <definedName name="SCDPT6SN1_13BEGIN_2" localSheetId="5">'GMIC_2020-Annu_SCDPT6SN1'!$D$52</definedName>
    <definedName name="SCDPT6SN1_13BEGIN_3" localSheetId="5">'GMIC_2020-Annu_SCDPT6SN1'!$E$52</definedName>
    <definedName name="SCDPT6SN1_13BEGIN_4" localSheetId="5">'GMIC_2020-Annu_SCDPT6SN1'!$F$52</definedName>
    <definedName name="SCDPT6SN1_13BEGIN_5" localSheetId="5">'GMIC_2020-Annu_SCDPT6SN1'!$G$52</definedName>
    <definedName name="SCDPT6SN1_13BEGIN_6" localSheetId="5">'GMIC_2020-Annu_SCDPT6SN1'!$H$52</definedName>
    <definedName name="SCDPT6SN1_13BEGIN_7" localSheetId="5">'GMIC_2020-Annu_SCDPT6SN1'!$I$52</definedName>
    <definedName name="SCDPT6SN1_13BEGIN_8" localSheetId="5">'GMIC_2020-Annu_SCDPT6SN1'!$J$52</definedName>
    <definedName name="SCDPT6SN1_13BEGIN_9" localSheetId="5">'GMIC_2020-Annu_SCDPT6SN1'!$K$52</definedName>
    <definedName name="SCDPT6SN1_13ENDIN_10" localSheetId="5">'GMIC_2020-Annu_SCDPT6SN1'!$L$54</definedName>
    <definedName name="SCDPT6SN1_13ENDIN_11" localSheetId="5">'GMIC_2020-Annu_SCDPT6SN1'!$M$54</definedName>
    <definedName name="SCDPT6SN1_13ENDIN_12" localSheetId="5">'GMIC_2020-Annu_SCDPT6SN1'!$N$54</definedName>
    <definedName name="SCDPT6SN1_13ENDIN_13" localSheetId="5">'GMIC_2020-Annu_SCDPT6SN1'!$O$54</definedName>
    <definedName name="SCDPT6SN1_13ENDIN_14" localSheetId="5">'GMIC_2020-Annu_SCDPT6SN1'!$P$54</definedName>
    <definedName name="SCDPT6SN1_13ENDIN_15" localSheetId="5">'GMIC_2020-Annu_SCDPT6SN1'!$Q$54</definedName>
    <definedName name="SCDPT6SN1_13ENDIN_16" localSheetId="5">'GMIC_2020-Annu_SCDPT6SN1'!$R$54</definedName>
    <definedName name="SCDPT6SN1_13ENDIN_2" localSheetId="5">'GMIC_2020-Annu_SCDPT6SN1'!$D$54</definedName>
    <definedName name="SCDPT6SN1_13ENDIN_3" localSheetId="5">'GMIC_2020-Annu_SCDPT6SN1'!$E$54</definedName>
    <definedName name="SCDPT6SN1_13ENDIN_4" localSheetId="5">'GMIC_2020-Annu_SCDPT6SN1'!$F$54</definedName>
    <definedName name="SCDPT6SN1_13ENDIN_5" localSheetId="5">'GMIC_2020-Annu_SCDPT6SN1'!$G$54</definedName>
    <definedName name="SCDPT6SN1_13ENDIN_6" localSheetId="5">'GMIC_2020-Annu_SCDPT6SN1'!$H$54</definedName>
    <definedName name="SCDPT6SN1_13ENDIN_7" localSheetId="5">'GMIC_2020-Annu_SCDPT6SN1'!$I$54</definedName>
    <definedName name="SCDPT6SN1_13ENDIN_8" localSheetId="5">'GMIC_2020-Annu_SCDPT6SN1'!$J$54</definedName>
    <definedName name="SCDPT6SN1_13ENDIN_9" localSheetId="5">'GMIC_2020-Annu_SCDPT6SN1'!$K$54</definedName>
    <definedName name="SCDPT6SN1_1400000_Range" localSheetId="5">'GMIC_2020-Annu_SCDPT6SN1'!$B$56:$R$58</definedName>
    <definedName name="SCDPT6SN1_1499999_10" localSheetId="5">'GMIC_2020-Annu_SCDPT6SN1'!$L$59</definedName>
    <definedName name="SCDPT6SN1_1499999_8" localSheetId="5">'GMIC_2020-Annu_SCDPT6SN1'!$J$59</definedName>
    <definedName name="SCDPT6SN1_1499999_9" localSheetId="5">'GMIC_2020-Annu_SCDPT6SN1'!$K$59</definedName>
    <definedName name="SCDPT6SN1_14BEGIN_1" localSheetId="5">'GMIC_2020-Annu_SCDPT6SN1'!$C$56</definedName>
    <definedName name="SCDPT6SN1_14BEGIN_10" localSheetId="5">'GMIC_2020-Annu_SCDPT6SN1'!$L$56</definedName>
    <definedName name="SCDPT6SN1_14BEGIN_11" localSheetId="5">'GMIC_2020-Annu_SCDPT6SN1'!$M$56</definedName>
    <definedName name="SCDPT6SN1_14BEGIN_12" localSheetId="5">'GMIC_2020-Annu_SCDPT6SN1'!$N$56</definedName>
    <definedName name="SCDPT6SN1_14BEGIN_13" localSheetId="5">'GMIC_2020-Annu_SCDPT6SN1'!$O$56</definedName>
    <definedName name="SCDPT6SN1_14BEGIN_14" localSheetId="5">'GMIC_2020-Annu_SCDPT6SN1'!$P$56</definedName>
    <definedName name="SCDPT6SN1_14BEGIN_15" localSheetId="5">'GMIC_2020-Annu_SCDPT6SN1'!$Q$56</definedName>
    <definedName name="SCDPT6SN1_14BEGIN_16" localSheetId="5">'GMIC_2020-Annu_SCDPT6SN1'!$R$56</definedName>
    <definedName name="SCDPT6SN1_14BEGIN_2" localSheetId="5">'GMIC_2020-Annu_SCDPT6SN1'!$D$56</definedName>
    <definedName name="SCDPT6SN1_14BEGIN_3" localSheetId="5">'GMIC_2020-Annu_SCDPT6SN1'!$E$56</definedName>
    <definedName name="SCDPT6SN1_14BEGIN_4" localSheetId="5">'GMIC_2020-Annu_SCDPT6SN1'!$F$56</definedName>
    <definedName name="SCDPT6SN1_14BEGIN_5" localSheetId="5">'GMIC_2020-Annu_SCDPT6SN1'!$G$56</definedName>
    <definedName name="SCDPT6SN1_14BEGIN_6" localSheetId="5">'GMIC_2020-Annu_SCDPT6SN1'!$H$56</definedName>
    <definedName name="SCDPT6SN1_14BEGIN_7" localSheetId="5">'GMIC_2020-Annu_SCDPT6SN1'!$I$56</definedName>
    <definedName name="SCDPT6SN1_14BEGIN_8" localSheetId="5">'GMIC_2020-Annu_SCDPT6SN1'!$J$56</definedName>
    <definedName name="SCDPT6SN1_14BEGIN_9" localSheetId="5">'GMIC_2020-Annu_SCDPT6SN1'!$K$56</definedName>
    <definedName name="SCDPT6SN1_14ENDIN_10" localSheetId="5">'GMIC_2020-Annu_SCDPT6SN1'!$L$58</definedName>
    <definedName name="SCDPT6SN1_14ENDIN_11" localSheetId="5">'GMIC_2020-Annu_SCDPT6SN1'!$M$58</definedName>
    <definedName name="SCDPT6SN1_14ENDIN_12" localSheetId="5">'GMIC_2020-Annu_SCDPT6SN1'!$N$58</definedName>
    <definedName name="SCDPT6SN1_14ENDIN_13" localSheetId="5">'GMIC_2020-Annu_SCDPT6SN1'!$O$58</definedName>
    <definedName name="SCDPT6SN1_14ENDIN_14" localSheetId="5">'GMIC_2020-Annu_SCDPT6SN1'!$P$58</definedName>
    <definedName name="SCDPT6SN1_14ENDIN_15" localSheetId="5">'GMIC_2020-Annu_SCDPT6SN1'!$Q$58</definedName>
    <definedName name="SCDPT6SN1_14ENDIN_16" localSheetId="5">'GMIC_2020-Annu_SCDPT6SN1'!$R$58</definedName>
    <definedName name="SCDPT6SN1_14ENDIN_2" localSheetId="5">'GMIC_2020-Annu_SCDPT6SN1'!$D$58</definedName>
    <definedName name="SCDPT6SN1_14ENDIN_3" localSheetId="5">'GMIC_2020-Annu_SCDPT6SN1'!$E$58</definedName>
    <definedName name="SCDPT6SN1_14ENDIN_4" localSheetId="5">'GMIC_2020-Annu_SCDPT6SN1'!$F$58</definedName>
    <definedName name="SCDPT6SN1_14ENDIN_5" localSheetId="5">'GMIC_2020-Annu_SCDPT6SN1'!$G$58</definedName>
    <definedName name="SCDPT6SN1_14ENDIN_6" localSheetId="5">'GMIC_2020-Annu_SCDPT6SN1'!$H$58</definedName>
    <definedName name="SCDPT6SN1_14ENDIN_7" localSheetId="5">'GMIC_2020-Annu_SCDPT6SN1'!$I$58</definedName>
    <definedName name="SCDPT6SN1_14ENDIN_8" localSheetId="5">'GMIC_2020-Annu_SCDPT6SN1'!$J$58</definedName>
    <definedName name="SCDPT6SN1_14ENDIN_9" localSheetId="5">'GMIC_2020-Annu_SCDPT6SN1'!$K$58</definedName>
    <definedName name="SCDPT6SN1_1500000_Range" localSheetId="5">'GMIC_2020-Annu_SCDPT6SN1'!$B$60:$R$62</definedName>
    <definedName name="SCDPT6SN1_1599999_10" localSheetId="5">'GMIC_2020-Annu_SCDPT6SN1'!$L$63</definedName>
    <definedName name="SCDPT6SN1_1599999_8" localSheetId="5">'GMIC_2020-Annu_SCDPT6SN1'!$J$63</definedName>
    <definedName name="SCDPT6SN1_1599999_9" localSheetId="5">'GMIC_2020-Annu_SCDPT6SN1'!$K$63</definedName>
    <definedName name="SCDPT6SN1_15BEGIN_1" localSheetId="5">'GMIC_2020-Annu_SCDPT6SN1'!$C$60</definedName>
    <definedName name="SCDPT6SN1_15BEGIN_10" localSheetId="5">'GMIC_2020-Annu_SCDPT6SN1'!$L$60</definedName>
    <definedName name="SCDPT6SN1_15BEGIN_11" localSheetId="5">'GMIC_2020-Annu_SCDPT6SN1'!$M$60</definedName>
    <definedName name="SCDPT6SN1_15BEGIN_12" localSheetId="5">'GMIC_2020-Annu_SCDPT6SN1'!$N$60</definedName>
    <definedName name="SCDPT6SN1_15BEGIN_13" localSheetId="5">'GMIC_2020-Annu_SCDPT6SN1'!$O$60</definedName>
    <definedName name="SCDPT6SN1_15BEGIN_14" localSheetId="5">'GMIC_2020-Annu_SCDPT6SN1'!$P$60</definedName>
    <definedName name="SCDPT6SN1_15BEGIN_15" localSheetId="5">'GMIC_2020-Annu_SCDPT6SN1'!$Q$60</definedName>
    <definedName name="SCDPT6SN1_15BEGIN_16" localSheetId="5">'GMIC_2020-Annu_SCDPT6SN1'!$R$60</definedName>
    <definedName name="SCDPT6SN1_15BEGIN_2" localSheetId="5">'GMIC_2020-Annu_SCDPT6SN1'!$D$60</definedName>
    <definedName name="SCDPT6SN1_15BEGIN_3" localSheetId="5">'GMIC_2020-Annu_SCDPT6SN1'!$E$60</definedName>
    <definedName name="SCDPT6SN1_15BEGIN_4" localSheetId="5">'GMIC_2020-Annu_SCDPT6SN1'!$F$60</definedName>
    <definedName name="SCDPT6SN1_15BEGIN_5" localSheetId="5">'GMIC_2020-Annu_SCDPT6SN1'!$G$60</definedName>
    <definedName name="SCDPT6SN1_15BEGIN_6" localSheetId="5">'GMIC_2020-Annu_SCDPT6SN1'!$H$60</definedName>
    <definedName name="SCDPT6SN1_15BEGIN_7" localSheetId="5">'GMIC_2020-Annu_SCDPT6SN1'!$I$60</definedName>
    <definedName name="SCDPT6SN1_15BEGIN_8" localSheetId="5">'GMIC_2020-Annu_SCDPT6SN1'!$J$60</definedName>
    <definedName name="SCDPT6SN1_15BEGIN_9" localSheetId="5">'GMIC_2020-Annu_SCDPT6SN1'!$K$60</definedName>
    <definedName name="SCDPT6SN1_15ENDIN_10" localSheetId="5">'GMIC_2020-Annu_SCDPT6SN1'!$L$62</definedName>
    <definedName name="SCDPT6SN1_15ENDIN_11" localSheetId="5">'GMIC_2020-Annu_SCDPT6SN1'!$M$62</definedName>
    <definedName name="SCDPT6SN1_15ENDIN_12" localSheetId="5">'GMIC_2020-Annu_SCDPT6SN1'!$N$62</definedName>
    <definedName name="SCDPT6SN1_15ENDIN_13" localSheetId="5">'GMIC_2020-Annu_SCDPT6SN1'!$O$62</definedName>
    <definedName name="SCDPT6SN1_15ENDIN_14" localSheetId="5">'GMIC_2020-Annu_SCDPT6SN1'!$P$62</definedName>
    <definedName name="SCDPT6SN1_15ENDIN_15" localSheetId="5">'GMIC_2020-Annu_SCDPT6SN1'!$Q$62</definedName>
    <definedName name="SCDPT6SN1_15ENDIN_16" localSheetId="5">'GMIC_2020-Annu_SCDPT6SN1'!$R$62</definedName>
    <definedName name="SCDPT6SN1_15ENDIN_2" localSheetId="5">'GMIC_2020-Annu_SCDPT6SN1'!$D$62</definedName>
    <definedName name="SCDPT6SN1_15ENDIN_3" localSheetId="5">'GMIC_2020-Annu_SCDPT6SN1'!$E$62</definedName>
    <definedName name="SCDPT6SN1_15ENDIN_4" localSheetId="5">'GMIC_2020-Annu_SCDPT6SN1'!$F$62</definedName>
    <definedName name="SCDPT6SN1_15ENDIN_5" localSheetId="5">'GMIC_2020-Annu_SCDPT6SN1'!$G$62</definedName>
    <definedName name="SCDPT6SN1_15ENDIN_6" localSheetId="5">'GMIC_2020-Annu_SCDPT6SN1'!$H$62</definedName>
    <definedName name="SCDPT6SN1_15ENDIN_7" localSheetId="5">'GMIC_2020-Annu_SCDPT6SN1'!$I$62</definedName>
    <definedName name="SCDPT6SN1_15ENDIN_8" localSheetId="5">'GMIC_2020-Annu_SCDPT6SN1'!$J$62</definedName>
    <definedName name="SCDPT6SN1_15ENDIN_9" localSheetId="5">'GMIC_2020-Annu_SCDPT6SN1'!$K$62</definedName>
    <definedName name="SCDPT6SN1_1600000_Range" localSheetId="5">'GMIC_2020-Annu_SCDPT6SN1'!$B$64:$R$66</definedName>
    <definedName name="SCDPT6SN1_1699999_10" localSheetId="5">'GMIC_2020-Annu_SCDPT6SN1'!$L$67</definedName>
    <definedName name="SCDPT6SN1_1699999_8" localSheetId="5">'GMIC_2020-Annu_SCDPT6SN1'!$J$67</definedName>
    <definedName name="SCDPT6SN1_1699999_9" localSheetId="5">'GMIC_2020-Annu_SCDPT6SN1'!$K$67</definedName>
    <definedName name="SCDPT6SN1_16BEGIN_1" localSheetId="5">'GMIC_2020-Annu_SCDPT6SN1'!$C$64</definedName>
    <definedName name="SCDPT6SN1_16BEGIN_10" localSheetId="5">'GMIC_2020-Annu_SCDPT6SN1'!$L$64</definedName>
    <definedName name="SCDPT6SN1_16BEGIN_11" localSheetId="5">'GMIC_2020-Annu_SCDPT6SN1'!$M$64</definedName>
    <definedName name="SCDPT6SN1_16BEGIN_12" localSheetId="5">'GMIC_2020-Annu_SCDPT6SN1'!$N$64</definedName>
    <definedName name="SCDPT6SN1_16BEGIN_13" localSheetId="5">'GMIC_2020-Annu_SCDPT6SN1'!$O$64</definedName>
    <definedName name="SCDPT6SN1_16BEGIN_14" localSheetId="5">'GMIC_2020-Annu_SCDPT6SN1'!$P$64</definedName>
    <definedName name="SCDPT6SN1_16BEGIN_15" localSheetId="5">'GMIC_2020-Annu_SCDPT6SN1'!$Q$64</definedName>
    <definedName name="SCDPT6SN1_16BEGIN_16" localSheetId="5">'GMIC_2020-Annu_SCDPT6SN1'!$R$64</definedName>
    <definedName name="SCDPT6SN1_16BEGIN_2" localSheetId="5">'GMIC_2020-Annu_SCDPT6SN1'!$D$64</definedName>
    <definedName name="SCDPT6SN1_16BEGIN_3" localSheetId="5">'GMIC_2020-Annu_SCDPT6SN1'!$E$64</definedName>
    <definedName name="SCDPT6SN1_16BEGIN_4" localSheetId="5">'GMIC_2020-Annu_SCDPT6SN1'!$F$64</definedName>
    <definedName name="SCDPT6SN1_16BEGIN_5" localSheetId="5">'GMIC_2020-Annu_SCDPT6SN1'!$G$64</definedName>
    <definedName name="SCDPT6SN1_16BEGIN_6" localSheetId="5">'GMIC_2020-Annu_SCDPT6SN1'!$H$64</definedName>
    <definedName name="SCDPT6SN1_16BEGIN_7" localSheetId="5">'GMIC_2020-Annu_SCDPT6SN1'!$I$64</definedName>
    <definedName name="SCDPT6SN1_16BEGIN_8" localSheetId="5">'GMIC_2020-Annu_SCDPT6SN1'!$J$64</definedName>
    <definedName name="SCDPT6SN1_16BEGIN_9" localSheetId="5">'GMIC_2020-Annu_SCDPT6SN1'!$K$64</definedName>
    <definedName name="SCDPT6SN1_16ENDIN_10" localSheetId="5">'GMIC_2020-Annu_SCDPT6SN1'!$L$66</definedName>
    <definedName name="SCDPT6SN1_16ENDIN_11" localSheetId="5">'GMIC_2020-Annu_SCDPT6SN1'!$M$66</definedName>
    <definedName name="SCDPT6SN1_16ENDIN_12" localSheetId="5">'GMIC_2020-Annu_SCDPT6SN1'!$N$66</definedName>
    <definedName name="SCDPT6SN1_16ENDIN_13" localSheetId="5">'GMIC_2020-Annu_SCDPT6SN1'!$O$66</definedName>
    <definedName name="SCDPT6SN1_16ENDIN_14" localSheetId="5">'GMIC_2020-Annu_SCDPT6SN1'!$P$66</definedName>
    <definedName name="SCDPT6SN1_16ENDIN_15" localSheetId="5">'GMIC_2020-Annu_SCDPT6SN1'!$Q$66</definedName>
    <definedName name="SCDPT6SN1_16ENDIN_16" localSheetId="5">'GMIC_2020-Annu_SCDPT6SN1'!$R$66</definedName>
    <definedName name="SCDPT6SN1_16ENDIN_2" localSheetId="5">'GMIC_2020-Annu_SCDPT6SN1'!$D$66</definedName>
    <definedName name="SCDPT6SN1_16ENDIN_3" localSheetId="5">'GMIC_2020-Annu_SCDPT6SN1'!$E$66</definedName>
    <definedName name="SCDPT6SN1_16ENDIN_4" localSheetId="5">'GMIC_2020-Annu_SCDPT6SN1'!$F$66</definedName>
    <definedName name="SCDPT6SN1_16ENDIN_5" localSheetId="5">'GMIC_2020-Annu_SCDPT6SN1'!$G$66</definedName>
    <definedName name="SCDPT6SN1_16ENDIN_6" localSheetId="5">'GMIC_2020-Annu_SCDPT6SN1'!$H$66</definedName>
    <definedName name="SCDPT6SN1_16ENDIN_7" localSheetId="5">'GMIC_2020-Annu_SCDPT6SN1'!$I$66</definedName>
    <definedName name="SCDPT6SN1_16ENDIN_8" localSheetId="5">'GMIC_2020-Annu_SCDPT6SN1'!$J$66</definedName>
    <definedName name="SCDPT6SN1_16ENDIN_9" localSheetId="5">'GMIC_2020-Annu_SCDPT6SN1'!$K$66</definedName>
    <definedName name="SCDPT6SN1_1700000_Range" localSheetId="5">'GMIC_2020-Annu_SCDPT6SN1'!$B$68:$R$70</definedName>
    <definedName name="SCDPT6SN1_1700001_1" localSheetId="5">'GMIC_2020-Annu_SCDPT6SN1'!$C$69</definedName>
    <definedName name="SCDPT6SN1_1700001_10" localSheetId="5">'GMIC_2020-Annu_SCDPT6SN1'!$L$69</definedName>
    <definedName name="SCDPT6SN1_1700001_11" localSheetId="5">'GMIC_2020-Annu_SCDPT6SN1'!$M$69</definedName>
    <definedName name="SCDPT6SN1_1700001_12" localSheetId="5">'GMIC_2020-Annu_SCDPT6SN1'!$N$69</definedName>
    <definedName name="SCDPT6SN1_1700001_13" localSheetId="5">'GMIC_2020-Annu_SCDPT6SN1'!$O$69</definedName>
    <definedName name="SCDPT6SN1_1700001_14" localSheetId="5">'GMIC_2020-Annu_SCDPT6SN1'!$P$69</definedName>
    <definedName name="SCDPT6SN1_1700001_15" localSheetId="5">'GMIC_2020-Annu_SCDPT6SN1'!$Q$69</definedName>
    <definedName name="SCDPT6SN1_1700001_16" localSheetId="5">'GMIC_2020-Annu_SCDPT6SN1'!$R$69</definedName>
    <definedName name="SCDPT6SN1_1700001_2" localSheetId="5">'GMIC_2020-Annu_SCDPT6SN1'!$D$69</definedName>
    <definedName name="SCDPT6SN1_1700001_3" localSheetId="5">'GMIC_2020-Annu_SCDPT6SN1'!$E$69</definedName>
    <definedName name="SCDPT6SN1_1700001_4" localSheetId="5">'GMIC_2020-Annu_SCDPT6SN1'!$F$69</definedName>
    <definedName name="SCDPT6SN1_1700001_5" localSheetId="5">'GMIC_2020-Annu_SCDPT6SN1'!$G$69</definedName>
    <definedName name="SCDPT6SN1_1700001_6" localSheetId="5">'GMIC_2020-Annu_SCDPT6SN1'!$H$69</definedName>
    <definedName name="SCDPT6SN1_1700001_7" localSheetId="5">'GMIC_2020-Annu_SCDPT6SN1'!$I$69</definedName>
    <definedName name="SCDPT6SN1_1700001_8" localSheetId="5">'GMIC_2020-Annu_SCDPT6SN1'!$J$69</definedName>
    <definedName name="SCDPT6SN1_1700001_9" localSheetId="5">'GMIC_2020-Annu_SCDPT6SN1'!$K$69</definedName>
    <definedName name="SCDPT6SN1_1799999_10" localSheetId="5">'GMIC_2020-Annu_SCDPT6SN1'!$L$71</definedName>
    <definedName name="SCDPT6SN1_1799999_8" localSheetId="5">'GMIC_2020-Annu_SCDPT6SN1'!$J$71</definedName>
    <definedName name="SCDPT6SN1_1799999_9" localSheetId="5">'GMIC_2020-Annu_SCDPT6SN1'!$K$71</definedName>
    <definedName name="SCDPT6SN1_17BEGIN_1" localSheetId="5">'GMIC_2020-Annu_SCDPT6SN1'!$C$68</definedName>
    <definedName name="SCDPT6SN1_17BEGIN_10" localSheetId="5">'GMIC_2020-Annu_SCDPT6SN1'!$L$68</definedName>
    <definedName name="SCDPT6SN1_17BEGIN_11" localSheetId="5">'GMIC_2020-Annu_SCDPT6SN1'!$M$68</definedName>
    <definedName name="SCDPT6SN1_17BEGIN_12" localSheetId="5">'GMIC_2020-Annu_SCDPT6SN1'!$N$68</definedName>
    <definedName name="SCDPT6SN1_17BEGIN_13" localSheetId="5">'GMIC_2020-Annu_SCDPT6SN1'!$O$68</definedName>
    <definedName name="SCDPT6SN1_17BEGIN_14" localSheetId="5">'GMIC_2020-Annu_SCDPT6SN1'!$P$68</definedName>
    <definedName name="SCDPT6SN1_17BEGIN_15" localSheetId="5">'GMIC_2020-Annu_SCDPT6SN1'!$Q$68</definedName>
    <definedName name="SCDPT6SN1_17BEGIN_16" localSheetId="5">'GMIC_2020-Annu_SCDPT6SN1'!$R$68</definedName>
    <definedName name="SCDPT6SN1_17BEGIN_2" localSheetId="5">'GMIC_2020-Annu_SCDPT6SN1'!$D$68</definedName>
    <definedName name="SCDPT6SN1_17BEGIN_3" localSheetId="5">'GMIC_2020-Annu_SCDPT6SN1'!$E$68</definedName>
    <definedName name="SCDPT6SN1_17BEGIN_4" localSheetId="5">'GMIC_2020-Annu_SCDPT6SN1'!$F$68</definedName>
    <definedName name="SCDPT6SN1_17BEGIN_5" localSheetId="5">'GMIC_2020-Annu_SCDPT6SN1'!$G$68</definedName>
    <definedName name="SCDPT6SN1_17BEGIN_6" localSheetId="5">'GMIC_2020-Annu_SCDPT6SN1'!$H$68</definedName>
    <definedName name="SCDPT6SN1_17BEGIN_7" localSheetId="5">'GMIC_2020-Annu_SCDPT6SN1'!$I$68</definedName>
    <definedName name="SCDPT6SN1_17BEGIN_8" localSheetId="5">'GMIC_2020-Annu_SCDPT6SN1'!$J$68</definedName>
    <definedName name="SCDPT6SN1_17BEGIN_9" localSheetId="5">'GMIC_2020-Annu_SCDPT6SN1'!$K$68</definedName>
    <definedName name="SCDPT6SN1_17ENDIN_10" localSheetId="5">'GMIC_2020-Annu_SCDPT6SN1'!$L$70</definedName>
    <definedName name="SCDPT6SN1_17ENDIN_11" localSheetId="5">'GMIC_2020-Annu_SCDPT6SN1'!$M$70</definedName>
    <definedName name="SCDPT6SN1_17ENDIN_12" localSheetId="5">'GMIC_2020-Annu_SCDPT6SN1'!$N$70</definedName>
    <definedName name="SCDPT6SN1_17ENDIN_13" localSheetId="5">'GMIC_2020-Annu_SCDPT6SN1'!$O$70</definedName>
    <definedName name="SCDPT6SN1_17ENDIN_14" localSheetId="5">'GMIC_2020-Annu_SCDPT6SN1'!$P$70</definedName>
    <definedName name="SCDPT6SN1_17ENDIN_15" localSheetId="5">'GMIC_2020-Annu_SCDPT6SN1'!$Q$70</definedName>
    <definedName name="SCDPT6SN1_17ENDIN_16" localSheetId="5">'GMIC_2020-Annu_SCDPT6SN1'!$R$70</definedName>
    <definedName name="SCDPT6SN1_17ENDIN_2" localSheetId="5">'GMIC_2020-Annu_SCDPT6SN1'!$D$70</definedName>
    <definedName name="SCDPT6SN1_17ENDIN_3" localSheetId="5">'GMIC_2020-Annu_SCDPT6SN1'!$E$70</definedName>
    <definedName name="SCDPT6SN1_17ENDIN_4" localSheetId="5">'GMIC_2020-Annu_SCDPT6SN1'!$F$70</definedName>
    <definedName name="SCDPT6SN1_17ENDIN_5" localSheetId="5">'GMIC_2020-Annu_SCDPT6SN1'!$G$70</definedName>
    <definedName name="SCDPT6SN1_17ENDIN_6" localSheetId="5">'GMIC_2020-Annu_SCDPT6SN1'!$H$70</definedName>
    <definedName name="SCDPT6SN1_17ENDIN_7" localSheetId="5">'GMIC_2020-Annu_SCDPT6SN1'!$I$70</definedName>
    <definedName name="SCDPT6SN1_17ENDIN_8" localSheetId="5">'GMIC_2020-Annu_SCDPT6SN1'!$J$70</definedName>
    <definedName name="SCDPT6SN1_17ENDIN_9" localSheetId="5">'GMIC_2020-Annu_SCDPT6SN1'!$K$70</definedName>
    <definedName name="SCDPT6SN1_1899999_10" localSheetId="5">'GMIC_2020-Annu_SCDPT6SN1'!$L$72</definedName>
    <definedName name="SCDPT6SN1_1899999_8" localSheetId="5">'GMIC_2020-Annu_SCDPT6SN1'!$J$72</definedName>
    <definedName name="SCDPT6SN1_1899999_9" localSheetId="5">'GMIC_2020-Annu_SCDPT6SN1'!$K$72</definedName>
    <definedName name="SCDPT6SN1_1999999_10" localSheetId="5">'GMIC_2020-Annu_SCDPT6SN1'!$L$73</definedName>
    <definedName name="SCDPT6SN1_1999999_8" localSheetId="5">'GMIC_2020-Annu_SCDPT6SN1'!$J$73</definedName>
    <definedName name="SCDPT6SN1_1999999_9" localSheetId="5">'GMIC_2020-Annu_SCDPT6SN1'!$K$73</definedName>
    <definedName name="Wings_Company_ID" localSheetId="0">'GMIC_2020-Annu_SCDPT1'!$C$2</definedName>
    <definedName name="Wings_Company_ID" localSheetId="1">'GMIC_2020-Annu_SCDPT2SN2'!$C$2</definedName>
    <definedName name="Wings_Company_ID" localSheetId="2">'GMIC_2020-Annu_SCDPT3'!$C$2</definedName>
    <definedName name="Wings_Company_ID" localSheetId="3">'GMIC_2020-Annu_SCDPT4'!$C$2</definedName>
    <definedName name="Wings_Company_ID" localSheetId="4">'GMIC_2020-Annu_SCDPT5'!$C$2</definedName>
    <definedName name="Wings_Company_ID" localSheetId="5">'GMIC_2020-Annu_SCDPT6SN1'!$C$2</definedName>
    <definedName name="WINGS_Identifier_ID" localSheetId="0">'GMIC_2020-Annu_SCDPT1'!$E$2</definedName>
    <definedName name="WINGS_Identifier_ID" localSheetId="1">'GMIC_2020-Annu_SCDPT2SN2'!$E$2</definedName>
    <definedName name="WINGS_Identifier_ID" localSheetId="2">'GMIC_2020-Annu_SCDPT3'!$E$2</definedName>
    <definedName name="WINGS_Identifier_ID" localSheetId="3">'GMIC_2020-Annu_SCDPT4'!$E$2</definedName>
    <definedName name="WINGS_Identifier_ID" localSheetId="4">'GMIC_2020-Annu_SCDPT5'!$E$2</definedName>
    <definedName name="WINGS_Identifier_ID" localSheetId="5">'GMIC_2020-Annu_SCDPT6SN1'!$E$2</definedName>
    <definedName name="Wings_IdentTable_ID" localSheetId="0">'GMIC_2020-Annu_SCDPT1'!$F$2</definedName>
    <definedName name="Wings_IdentTable_ID" localSheetId="1">'GMIC_2020-Annu_SCDPT2SN2'!$F$2</definedName>
    <definedName name="Wings_IdentTable_ID" localSheetId="2">'GMIC_2020-Annu_SCDPT3'!$F$2</definedName>
    <definedName name="Wings_IdentTable_ID" localSheetId="3">'GMIC_2020-Annu_SCDPT4'!$F$2</definedName>
    <definedName name="Wings_IdentTable_ID" localSheetId="4">'GMIC_2020-Annu_SCDPT5'!$F$2</definedName>
    <definedName name="Wings_IdentTable_ID" localSheetId="5">'GMIC_2020-Annu_SCDPT6SN1'!$F$2</definedName>
    <definedName name="Wings_Statement_ID" localSheetId="0">'GMIC_2020-Annu_SCDPT1'!$D$2</definedName>
    <definedName name="Wings_Statement_ID" localSheetId="1">'GMIC_2020-Annu_SCDPT2SN2'!$D$2</definedName>
    <definedName name="Wings_Statement_ID" localSheetId="2">'GMIC_2020-Annu_SCDPT3'!$D$2</definedName>
    <definedName name="Wings_Statement_ID" localSheetId="3">'GMIC_2020-Annu_SCDPT4'!$D$2</definedName>
    <definedName name="Wings_Statement_ID" localSheetId="4">'GMIC_2020-Annu_SCDPT5'!$D$2</definedName>
    <definedName name="Wings_Statement_ID" localSheetId="5">'GMIC_2020-Annu_SCDPT6SN1'!$D$2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1" i="9" l="1"/>
  <c r="K71" i="9"/>
  <c r="J71" i="9"/>
  <c r="L67" i="9"/>
  <c r="K67" i="9"/>
  <c r="J67" i="9"/>
  <c r="L63" i="9"/>
  <c r="K63" i="9"/>
  <c r="J63" i="9"/>
  <c r="L59" i="9"/>
  <c r="K59" i="9"/>
  <c r="J59" i="9"/>
  <c r="L55" i="9"/>
  <c r="K55" i="9"/>
  <c r="J55" i="9"/>
  <c r="L51" i="9"/>
  <c r="K51" i="9"/>
  <c r="J51" i="9"/>
  <c r="L47" i="9"/>
  <c r="K47" i="9"/>
  <c r="J47" i="9"/>
  <c r="L43" i="9"/>
  <c r="K43" i="9"/>
  <c r="J43" i="9"/>
  <c r="J72" i="9" s="1"/>
  <c r="L38" i="9"/>
  <c r="K38" i="9"/>
  <c r="J38" i="9"/>
  <c r="L34" i="9"/>
  <c r="K34" i="9"/>
  <c r="J34" i="9"/>
  <c r="L30" i="9"/>
  <c r="K30" i="9"/>
  <c r="J30" i="9"/>
  <c r="L26" i="9"/>
  <c r="K26" i="9"/>
  <c r="J26" i="9"/>
  <c r="L22" i="9"/>
  <c r="K22" i="9"/>
  <c r="J22" i="9"/>
  <c r="L18" i="9"/>
  <c r="K18" i="9"/>
  <c r="J18" i="9"/>
  <c r="L14" i="9"/>
  <c r="K14" i="9"/>
  <c r="J14" i="9"/>
  <c r="L10" i="9"/>
  <c r="L39" i="9" s="1"/>
  <c r="K10" i="9"/>
  <c r="K39" i="9" s="1"/>
  <c r="J10" i="9"/>
  <c r="J39" i="9" s="1"/>
  <c r="D2" i="9"/>
  <c r="C2" i="9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W129" i="8"/>
  <c r="W142" i="8" s="1"/>
  <c r="V129" i="8"/>
  <c r="U129" i="8"/>
  <c r="T129" i="8"/>
  <c r="S129" i="8"/>
  <c r="S142" i="8" s="1"/>
  <c r="R129" i="8"/>
  <c r="Q129" i="8"/>
  <c r="P129" i="8"/>
  <c r="O129" i="8"/>
  <c r="O142" i="8" s="1"/>
  <c r="N129" i="8"/>
  <c r="M129" i="8"/>
  <c r="L129" i="8"/>
  <c r="K129" i="8"/>
  <c r="K142" i="8" s="1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W117" i="8"/>
  <c r="V117" i="8"/>
  <c r="V142" i="8" s="1"/>
  <c r="U117" i="8"/>
  <c r="T117" i="8"/>
  <c r="S117" i="8"/>
  <c r="R117" i="8"/>
  <c r="R142" i="8" s="1"/>
  <c r="Q117" i="8"/>
  <c r="P117" i="8"/>
  <c r="O117" i="8"/>
  <c r="N117" i="8"/>
  <c r="N142" i="8" s="1"/>
  <c r="M117" i="8"/>
  <c r="L117" i="8"/>
  <c r="K117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W100" i="8"/>
  <c r="W113" i="8" s="1"/>
  <c r="W143" i="8" s="1"/>
  <c r="V100" i="8"/>
  <c r="U100" i="8"/>
  <c r="T100" i="8"/>
  <c r="S100" i="8"/>
  <c r="S113" i="8" s="1"/>
  <c r="S143" i="8" s="1"/>
  <c r="R100" i="8"/>
  <c r="Q100" i="8"/>
  <c r="P100" i="8"/>
  <c r="O100" i="8"/>
  <c r="O113" i="8" s="1"/>
  <c r="O143" i="8" s="1"/>
  <c r="N100" i="8"/>
  <c r="M100" i="8"/>
  <c r="L100" i="8"/>
  <c r="K100" i="8"/>
  <c r="K113" i="8" s="1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W79" i="8"/>
  <c r="V79" i="8"/>
  <c r="T79" i="8"/>
  <c r="S79" i="8"/>
  <c r="R79" i="8"/>
  <c r="Q79" i="8"/>
  <c r="P79" i="8"/>
  <c r="O79" i="8"/>
  <c r="N79" i="8"/>
  <c r="M79" i="8"/>
  <c r="L79" i="8"/>
  <c r="K79" i="8"/>
  <c r="J79" i="8"/>
  <c r="U28" i="8"/>
  <c r="U79" i="8" s="1"/>
  <c r="Q28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W22" i="8"/>
  <c r="V22" i="8"/>
  <c r="U22" i="8"/>
  <c r="T22" i="8"/>
  <c r="T96" i="8" s="1"/>
  <c r="S22" i="8"/>
  <c r="R22" i="8"/>
  <c r="Q22" i="8"/>
  <c r="P22" i="8"/>
  <c r="O22" i="8"/>
  <c r="N22" i="8"/>
  <c r="M22" i="8"/>
  <c r="L22" i="8"/>
  <c r="L96" i="8" s="1"/>
  <c r="K22" i="8"/>
  <c r="J22" i="8"/>
  <c r="W18" i="8"/>
  <c r="V18" i="8"/>
  <c r="V96" i="8" s="1"/>
  <c r="U18" i="8"/>
  <c r="T18" i="8"/>
  <c r="S18" i="8"/>
  <c r="R18" i="8"/>
  <c r="R96" i="8" s="1"/>
  <c r="Q18" i="8"/>
  <c r="P18" i="8"/>
  <c r="O18" i="8"/>
  <c r="N18" i="8"/>
  <c r="N96" i="8" s="1"/>
  <c r="M18" i="8"/>
  <c r="L18" i="8"/>
  <c r="K18" i="8"/>
  <c r="J18" i="8"/>
  <c r="J96" i="8" s="1"/>
  <c r="W14" i="8"/>
  <c r="V14" i="8"/>
  <c r="T14" i="8"/>
  <c r="S14" i="8"/>
  <c r="R14" i="8"/>
  <c r="P14" i="8"/>
  <c r="O14" i="8"/>
  <c r="N14" i="8"/>
  <c r="M14" i="8"/>
  <c r="L14" i="8"/>
  <c r="K14" i="8"/>
  <c r="J14" i="8"/>
  <c r="U12" i="8"/>
  <c r="U14" i="8" s="1"/>
  <c r="Q12" i="8"/>
  <c r="Q14" i="8" s="1"/>
  <c r="W10" i="8"/>
  <c r="V10" i="8"/>
  <c r="U10" i="8"/>
  <c r="T10" i="8"/>
  <c r="S10" i="8"/>
  <c r="R10" i="8"/>
  <c r="Q10" i="8"/>
  <c r="Q96" i="8" s="1"/>
  <c r="P10" i="8"/>
  <c r="P96" i="8" s="1"/>
  <c r="O10" i="8"/>
  <c r="N10" i="8"/>
  <c r="M10" i="8"/>
  <c r="M96" i="8" s="1"/>
  <c r="L10" i="8"/>
  <c r="K10" i="8"/>
  <c r="J10" i="8"/>
  <c r="D2" i="8"/>
  <c r="C2" i="8"/>
  <c r="Q325" i="7"/>
  <c r="Q327" i="7" s="1"/>
  <c r="V324" i="7"/>
  <c r="U324" i="7"/>
  <c r="T324" i="7"/>
  <c r="S324" i="7"/>
  <c r="R324" i="7"/>
  <c r="Q324" i="7"/>
  <c r="P324" i="7"/>
  <c r="O324" i="7"/>
  <c r="N324" i="7"/>
  <c r="M324" i="7"/>
  <c r="L324" i="7"/>
  <c r="K324" i="7"/>
  <c r="I324" i="7"/>
  <c r="V320" i="7"/>
  <c r="U320" i="7"/>
  <c r="T320" i="7"/>
  <c r="S320" i="7"/>
  <c r="R320" i="7"/>
  <c r="Q320" i="7"/>
  <c r="P320" i="7"/>
  <c r="O320" i="7"/>
  <c r="N320" i="7"/>
  <c r="M320" i="7"/>
  <c r="L320" i="7"/>
  <c r="K320" i="7"/>
  <c r="I320" i="7"/>
  <c r="V316" i="7"/>
  <c r="U316" i="7"/>
  <c r="T316" i="7"/>
  <c r="S316" i="7"/>
  <c r="R316" i="7"/>
  <c r="Q316" i="7"/>
  <c r="P316" i="7"/>
  <c r="O316" i="7"/>
  <c r="N316" i="7"/>
  <c r="M316" i="7"/>
  <c r="L316" i="7"/>
  <c r="K316" i="7"/>
  <c r="I316" i="7"/>
  <c r="V312" i="7"/>
  <c r="U312" i="7"/>
  <c r="T312" i="7"/>
  <c r="S312" i="7"/>
  <c r="R312" i="7"/>
  <c r="Q312" i="7"/>
  <c r="P312" i="7"/>
  <c r="O312" i="7"/>
  <c r="N312" i="7"/>
  <c r="M312" i="7"/>
  <c r="L312" i="7"/>
  <c r="K312" i="7"/>
  <c r="I312" i="7"/>
  <c r="V308" i="7"/>
  <c r="V325" i="7" s="1"/>
  <c r="V327" i="7" s="1"/>
  <c r="U308" i="7"/>
  <c r="T308" i="7"/>
  <c r="S308" i="7"/>
  <c r="R308" i="7"/>
  <c r="R325" i="7" s="1"/>
  <c r="R327" i="7" s="1"/>
  <c r="Q308" i="7"/>
  <c r="P308" i="7"/>
  <c r="O308" i="7"/>
  <c r="N308" i="7"/>
  <c r="N325" i="7" s="1"/>
  <c r="N327" i="7" s="1"/>
  <c r="M308" i="7"/>
  <c r="L308" i="7"/>
  <c r="K308" i="7"/>
  <c r="I308" i="7"/>
  <c r="I325" i="7" s="1"/>
  <c r="I327" i="7" s="1"/>
  <c r="V304" i="7"/>
  <c r="U304" i="7"/>
  <c r="T304" i="7"/>
  <c r="S304" i="7"/>
  <c r="S325" i="7" s="1"/>
  <c r="S327" i="7" s="1"/>
  <c r="R304" i="7"/>
  <c r="Q304" i="7"/>
  <c r="P304" i="7"/>
  <c r="O304" i="7"/>
  <c r="O325" i="7" s="1"/>
  <c r="O327" i="7" s="1"/>
  <c r="N304" i="7"/>
  <c r="M304" i="7"/>
  <c r="L304" i="7"/>
  <c r="K304" i="7"/>
  <c r="K325" i="7" s="1"/>
  <c r="K327" i="7" s="1"/>
  <c r="I304" i="7"/>
  <c r="V300" i="7"/>
  <c r="U300" i="7"/>
  <c r="T300" i="7"/>
  <c r="T325" i="7" s="1"/>
  <c r="T327" i="7" s="1"/>
  <c r="S300" i="7"/>
  <c r="R300" i="7"/>
  <c r="Q300" i="7"/>
  <c r="P300" i="7"/>
  <c r="P325" i="7" s="1"/>
  <c r="P327" i="7" s="1"/>
  <c r="O300" i="7"/>
  <c r="N300" i="7"/>
  <c r="M300" i="7"/>
  <c r="L300" i="7"/>
  <c r="L325" i="7" s="1"/>
  <c r="L327" i="7" s="1"/>
  <c r="K300" i="7"/>
  <c r="I300" i="7"/>
  <c r="R294" i="7"/>
  <c r="R296" i="7" s="1"/>
  <c r="V293" i="7"/>
  <c r="U293" i="7"/>
  <c r="T293" i="7"/>
  <c r="S293" i="7"/>
  <c r="R293" i="7"/>
  <c r="Q293" i="7"/>
  <c r="P293" i="7"/>
  <c r="O293" i="7"/>
  <c r="N293" i="7"/>
  <c r="M293" i="7"/>
  <c r="L293" i="7"/>
  <c r="K293" i="7"/>
  <c r="I293" i="7"/>
  <c r="V289" i="7"/>
  <c r="U289" i="7"/>
  <c r="T289" i="7"/>
  <c r="S289" i="7"/>
  <c r="R289" i="7"/>
  <c r="Q289" i="7"/>
  <c r="P289" i="7"/>
  <c r="O289" i="7"/>
  <c r="N289" i="7"/>
  <c r="M289" i="7"/>
  <c r="L289" i="7"/>
  <c r="K289" i="7"/>
  <c r="I289" i="7"/>
  <c r="V285" i="7"/>
  <c r="U285" i="7"/>
  <c r="T285" i="7"/>
  <c r="S285" i="7"/>
  <c r="R285" i="7"/>
  <c r="Q285" i="7"/>
  <c r="P285" i="7"/>
  <c r="O285" i="7"/>
  <c r="N285" i="7"/>
  <c r="M285" i="7"/>
  <c r="L285" i="7"/>
  <c r="K285" i="7"/>
  <c r="I285" i="7"/>
  <c r="V281" i="7"/>
  <c r="V294" i="7" s="1"/>
  <c r="V296" i="7" s="1"/>
  <c r="V328" i="7" s="1"/>
  <c r="U281" i="7"/>
  <c r="T281" i="7"/>
  <c r="S281" i="7"/>
  <c r="S294" i="7" s="1"/>
  <c r="S296" i="7" s="1"/>
  <c r="S328" i="7" s="1"/>
  <c r="R281" i="7"/>
  <c r="Q281" i="7"/>
  <c r="P281" i="7"/>
  <c r="O281" i="7"/>
  <c r="N281" i="7"/>
  <c r="N294" i="7" s="1"/>
  <c r="N296" i="7" s="1"/>
  <c r="N328" i="7" s="1"/>
  <c r="M281" i="7"/>
  <c r="L281" i="7"/>
  <c r="K281" i="7"/>
  <c r="K294" i="7" s="1"/>
  <c r="K296" i="7" s="1"/>
  <c r="K328" i="7" s="1"/>
  <c r="I281" i="7"/>
  <c r="I294" i="7" s="1"/>
  <c r="I296" i="7" s="1"/>
  <c r="V275" i="7"/>
  <c r="V277" i="7" s="1"/>
  <c r="N275" i="7"/>
  <c r="N277" i="7" s="1"/>
  <c r="V274" i="7"/>
  <c r="U274" i="7"/>
  <c r="T274" i="7"/>
  <c r="S274" i="7"/>
  <c r="R274" i="7"/>
  <c r="Q274" i="7"/>
  <c r="P274" i="7"/>
  <c r="O274" i="7"/>
  <c r="N274" i="7"/>
  <c r="M274" i="7"/>
  <c r="L274" i="7"/>
  <c r="K274" i="7"/>
  <c r="J274" i="7"/>
  <c r="I274" i="7"/>
  <c r="V270" i="7"/>
  <c r="U270" i="7"/>
  <c r="T270" i="7"/>
  <c r="S270" i="7"/>
  <c r="R270" i="7"/>
  <c r="Q270" i="7"/>
  <c r="P270" i="7"/>
  <c r="O270" i="7"/>
  <c r="N270" i="7"/>
  <c r="M270" i="7"/>
  <c r="L270" i="7"/>
  <c r="K270" i="7"/>
  <c r="J270" i="7"/>
  <c r="I270" i="7"/>
  <c r="V266" i="7"/>
  <c r="U266" i="7"/>
  <c r="T266" i="7"/>
  <c r="S266" i="7"/>
  <c r="R266" i="7"/>
  <c r="Q266" i="7"/>
  <c r="P266" i="7"/>
  <c r="O266" i="7"/>
  <c r="N266" i="7"/>
  <c r="M266" i="7"/>
  <c r="L266" i="7"/>
  <c r="K266" i="7"/>
  <c r="J266" i="7"/>
  <c r="I266" i="7"/>
  <c r="V262" i="7"/>
  <c r="U262" i="7"/>
  <c r="T262" i="7"/>
  <c r="S262" i="7"/>
  <c r="R262" i="7"/>
  <c r="Q262" i="7"/>
  <c r="P262" i="7"/>
  <c r="O262" i="7"/>
  <c r="N262" i="7"/>
  <c r="M262" i="7"/>
  <c r="L262" i="7"/>
  <c r="K262" i="7"/>
  <c r="J262" i="7"/>
  <c r="I262" i="7"/>
  <c r="V258" i="7"/>
  <c r="T258" i="7"/>
  <c r="S258" i="7"/>
  <c r="R258" i="7"/>
  <c r="Q258" i="7"/>
  <c r="P258" i="7"/>
  <c r="O258" i="7"/>
  <c r="N258" i="7"/>
  <c r="M258" i="7"/>
  <c r="L258" i="7"/>
  <c r="K258" i="7"/>
  <c r="J258" i="7"/>
  <c r="I258" i="7"/>
  <c r="U40" i="7"/>
  <c r="U258" i="7" s="1"/>
  <c r="P40" i="7"/>
  <c r="V38" i="7"/>
  <c r="T38" i="7"/>
  <c r="S38" i="7"/>
  <c r="R38" i="7"/>
  <c r="Q38" i="7"/>
  <c r="O38" i="7"/>
  <c r="N38" i="7"/>
  <c r="M38" i="7"/>
  <c r="L38" i="7"/>
  <c r="K38" i="7"/>
  <c r="J38" i="7"/>
  <c r="I38" i="7"/>
  <c r="U28" i="7"/>
  <c r="U38" i="7" s="1"/>
  <c r="P28" i="7"/>
  <c r="P38" i="7" s="1"/>
  <c r="V26" i="7"/>
  <c r="T26" i="7"/>
  <c r="S26" i="7"/>
  <c r="R26" i="7"/>
  <c r="Q26" i="7"/>
  <c r="O26" i="7"/>
  <c r="N26" i="7"/>
  <c r="M26" i="7"/>
  <c r="L26" i="7"/>
  <c r="K26" i="7"/>
  <c r="J26" i="7"/>
  <c r="I26" i="7"/>
  <c r="U22" i="7"/>
  <c r="U26" i="7" s="1"/>
  <c r="P22" i="7"/>
  <c r="P26" i="7" s="1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V16" i="7"/>
  <c r="U16" i="7"/>
  <c r="U275" i="7" s="1"/>
  <c r="U277" i="7" s="1"/>
  <c r="T16" i="7"/>
  <c r="S16" i="7"/>
  <c r="R16" i="7"/>
  <c r="R275" i="7" s="1"/>
  <c r="R277" i="7" s="1"/>
  <c r="Q16" i="7"/>
  <c r="Q275" i="7" s="1"/>
  <c r="Q277" i="7" s="1"/>
  <c r="P16" i="7"/>
  <c r="O16" i="7"/>
  <c r="N16" i="7"/>
  <c r="M16" i="7"/>
  <c r="M275" i="7" s="1"/>
  <c r="M277" i="7" s="1"/>
  <c r="L16" i="7"/>
  <c r="K16" i="7"/>
  <c r="J16" i="7"/>
  <c r="J275" i="7" s="1"/>
  <c r="J277" i="7" s="1"/>
  <c r="I16" i="7"/>
  <c r="I275" i="7" s="1"/>
  <c r="I277" i="7" s="1"/>
  <c r="I329" i="7" s="1"/>
  <c r="V12" i="7"/>
  <c r="T12" i="7"/>
  <c r="S12" i="7"/>
  <c r="R12" i="7"/>
  <c r="Q12" i="7"/>
  <c r="O12" i="7"/>
  <c r="N12" i="7"/>
  <c r="M12" i="7"/>
  <c r="L12" i="7"/>
  <c r="K12" i="7"/>
  <c r="J12" i="7"/>
  <c r="I12" i="7"/>
  <c r="U8" i="7"/>
  <c r="U12" i="7" s="1"/>
  <c r="P8" i="7"/>
  <c r="P12" i="7" s="1"/>
  <c r="D2" i="7"/>
  <c r="C2" i="7"/>
  <c r="K414" i="6"/>
  <c r="I414" i="6"/>
  <c r="K411" i="6"/>
  <c r="I411" i="6"/>
  <c r="K407" i="6"/>
  <c r="I407" i="6"/>
  <c r="K403" i="6"/>
  <c r="I403" i="6"/>
  <c r="K399" i="6"/>
  <c r="I399" i="6"/>
  <c r="K395" i="6"/>
  <c r="I395" i="6"/>
  <c r="K391" i="6"/>
  <c r="I391" i="6"/>
  <c r="K387" i="6"/>
  <c r="K412" i="6" s="1"/>
  <c r="I387" i="6"/>
  <c r="I412" i="6" s="1"/>
  <c r="K380" i="6"/>
  <c r="I380" i="6"/>
  <c r="K376" i="6"/>
  <c r="I376" i="6"/>
  <c r="K372" i="6"/>
  <c r="I372" i="6"/>
  <c r="K368" i="6"/>
  <c r="K381" i="6" s="1"/>
  <c r="K383" i="6" s="1"/>
  <c r="K415" i="6" s="1"/>
  <c r="I368" i="6"/>
  <c r="I381" i="6" s="1"/>
  <c r="I383" i="6" s="1"/>
  <c r="I415" i="6" s="1"/>
  <c r="K361" i="6"/>
  <c r="J361" i="6"/>
  <c r="I361" i="6"/>
  <c r="K357" i="6"/>
  <c r="J357" i="6"/>
  <c r="I357" i="6"/>
  <c r="K353" i="6"/>
  <c r="J353" i="6"/>
  <c r="I353" i="6"/>
  <c r="K349" i="6"/>
  <c r="J349" i="6"/>
  <c r="I349" i="6"/>
  <c r="K345" i="6"/>
  <c r="J345" i="6"/>
  <c r="I345" i="6"/>
  <c r="K59" i="6"/>
  <c r="J59" i="6"/>
  <c r="I59" i="6"/>
  <c r="K25" i="6"/>
  <c r="J25" i="6"/>
  <c r="I25" i="6"/>
  <c r="K21" i="6"/>
  <c r="J21" i="6"/>
  <c r="I21" i="6"/>
  <c r="K14" i="6"/>
  <c r="J14" i="6"/>
  <c r="I14" i="6"/>
  <c r="K10" i="6"/>
  <c r="J10" i="6"/>
  <c r="I10" i="6"/>
  <c r="I362" i="6" s="1"/>
  <c r="I364" i="6" s="1"/>
  <c r="D2" i="6"/>
  <c r="C2" i="6"/>
  <c r="L35" i="4"/>
  <c r="K35" i="4"/>
  <c r="R34" i="4"/>
  <c r="Q34" i="4"/>
  <c r="P34" i="4"/>
  <c r="O34" i="4"/>
  <c r="N34" i="4"/>
  <c r="M34" i="4"/>
  <c r="L34" i="4"/>
  <c r="K34" i="4"/>
  <c r="J34" i="4"/>
  <c r="H34" i="4"/>
  <c r="R30" i="4"/>
  <c r="Q30" i="4"/>
  <c r="P30" i="4"/>
  <c r="O30" i="4"/>
  <c r="N30" i="4"/>
  <c r="M30" i="4"/>
  <c r="L30" i="4"/>
  <c r="K30" i="4"/>
  <c r="J30" i="4"/>
  <c r="H30" i="4"/>
  <c r="R26" i="4"/>
  <c r="Q26" i="4"/>
  <c r="P26" i="4"/>
  <c r="O26" i="4"/>
  <c r="N26" i="4"/>
  <c r="M26" i="4"/>
  <c r="L26" i="4"/>
  <c r="K26" i="4"/>
  <c r="J26" i="4"/>
  <c r="H26" i="4"/>
  <c r="R22" i="4"/>
  <c r="Q22" i="4"/>
  <c r="P22" i="4"/>
  <c r="O22" i="4"/>
  <c r="N22" i="4"/>
  <c r="M22" i="4"/>
  <c r="L22" i="4"/>
  <c r="K22" i="4"/>
  <c r="J22" i="4"/>
  <c r="H22" i="4"/>
  <c r="R18" i="4"/>
  <c r="Q18" i="4"/>
  <c r="P18" i="4"/>
  <c r="O18" i="4"/>
  <c r="N18" i="4"/>
  <c r="M18" i="4"/>
  <c r="L18" i="4"/>
  <c r="K18" i="4"/>
  <c r="J18" i="4"/>
  <c r="H18" i="4"/>
  <c r="R14" i="4"/>
  <c r="Q14" i="4"/>
  <c r="P14" i="4"/>
  <c r="P35" i="4" s="1"/>
  <c r="O14" i="4"/>
  <c r="O35" i="4" s="1"/>
  <c r="N14" i="4"/>
  <c r="M14" i="4"/>
  <c r="L14" i="4"/>
  <c r="K14" i="4"/>
  <c r="J14" i="4"/>
  <c r="H14" i="4"/>
  <c r="R10" i="4"/>
  <c r="R35" i="4" s="1"/>
  <c r="Q10" i="4"/>
  <c r="Q35" i="4" s="1"/>
  <c r="P10" i="4"/>
  <c r="O10" i="4"/>
  <c r="N10" i="4"/>
  <c r="N35" i="4" s="1"/>
  <c r="M10" i="4"/>
  <c r="M35" i="4" s="1"/>
  <c r="L10" i="4"/>
  <c r="K10" i="4"/>
  <c r="J10" i="4"/>
  <c r="J35" i="4" s="1"/>
  <c r="H10" i="4"/>
  <c r="H35" i="4" s="1"/>
  <c r="D2" i="4"/>
  <c r="C2" i="4"/>
  <c r="X1089" i="1"/>
  <c r="W1089" i="1"/>
  <c r="M1089" i="1"/>
  <c r="K1089" i="1"/>
  <c r="N1088" i="1"/>
  <c r="R1086" i="1"/>
  <c r="K1085" i="1"/>
  <c r="Q1083" i="1"/>
  <c r="Q1090" i="1" s="1"/>
  <c r="P1083" i="1"/>
  <c r="P1090" i="1" s="1"/>
  <c r="X1082" i="1"/>
  <c r="W1082" i="1"/>
  <c r="S1082" i="1"/>
  <c r="R1082" i="1"/>
  <c r="Q1082" i="1"/>
  <c r="P1082" i="1"/>
  <c r="O1082" i="1"/>
  <c r="N1082" i="1"/>
  <c r="M1082" i="1"/>
  <c r="K1082" i="1"/>
  <c r="X1078" i="1"/>
  <c r="X1083" i="1" s="1"/>
  <c r="X1090" i="1" s="1"/>
  <c r="W1078" i="1"/>
  <c r="W1083" i="1" s="1"/>
  <c r="W1090" i="1" s="1"/>
  <c r="S1078" i="1"/>
  <c r="S1083" i="1" s="1"/>
  <c r="S1090" i="1" s="1"/>
  <c r="R1078" i="1"/>
  <c r="Q1078" i="1"/>
  <c r="P1078" i="1"/>
  <c r="O1078" i="1"/>
  <c r="O1083" i="1" s="1"/>
  <c r="O1090" i="1" s="1"/>
  <c r="N1078" i="1"/>
  <c r="M1078" i="1"/>
  <c r="M1083" i="1" s="1"/>
  <c r="M1090" i="1" s="1"/>
  <c r="K1078" i="1"/>
  <c r="K1083" i="1" s="1"/>
  <c r="K1090" i="1" s="1"/>
  <c r="O1074" i="1"/>
  <c r="O1088" i="1" s="1"/>
  <c r="X1073" i="1"/>
  <c r="W1073" i="1"/>
  <c r="W1074" i="1" s="1"/>
  <c r="W1088" i="1" s="1"/>
  <c r="S1073" i="1"/>
  <c r="R1073" i="1"/>
  <c r="Q1073" i="1"/>
  <c r="P1073" i="1"/>
  <c r="P1074" i="1" s="1"/>
  <c r="P1088" i="1" s="1"/>
  <c r="O1073" i="1"/>
  <c r="N1073" i="1"/>
  <c r="M1073" i="1"/>
  <c r="K1073" i="1"/>
  <c r="X1069" i="1"/>
  <c r="W1069" i="1"/>
  <c r="S1069" i="1"/>
  <c r="S1074" i="1" s="1"/>
  <c r="S1088" i="1" s="1"/>
  <c r="R1069" i="1"/>
  <c r="R1074" i="1" s="1"/>
  <c r="R1088" i="1" s="1"/>
  <c r="Q1069" i="1"/>
  <c r="P1069" i="1"/>
  <c r="O1069" i="1"/>
  <c r="N1069" i="1"/>
  <c r="N1074" i="1" s="1"/>
  <c r="M1069" i="1"/>
  <c r="K1069" i="1"/>
  <c r="K1074" i="1" s="1"/>
  <c r="K1088" i="1" s="1"/>
  <c r="X1065" i="1"/>
  <c r="W1065" i="1"/>
  <c r="Q1065" i="1"/>
  <c r="P1065" i="1"/>
  <c r="N1065" i="1"/>
  <c r="X1064" i="1"/>
  <c r="W1064" i="1"/>
  <c r="S1064" i="1"/>
  <c r="R1064" i="1"/>
  <c r="Q1064" i="1"/>
  <c r="P1064" i="1"/>
  <c r="O1064" i="1"/>
  <c r="N1064" i="1"/>
  <c r="M1064" i="1"/>
  <c r="K1064" i="1"/>
  <c r="X1060" i="1"/>
  <c r="W1060" i="1"/>
  <c r="S1060" i="1"/>
  <c r="S1089" i="1" s="1"/>
  <c r="R1060" i="1"/>
  <c r="R1089" i="1" s="1"/>
  <c r="Q1060" i="1"/>
  <c r="Q1089" i="1" s="1"/>
  <c r="P1060" i="1"/>
  <c r="P1089" i="1" s="1"/>
  <c r="O1060" i="1"/>
  <c r="O1089" i="1" s="1"/>
  <c r="N1060" i="1"/>
  <c r="N1089" i="1" s="1"/>
  <c r="M1060" i="1"/>
  <c r="K1060" i="1"/>
  <c r="X1056" i="1"/>
  <c r="W1056" i="1"/>
  <c r="S1056" i="1"/>
  <c r="R1056" i="1"/>
  <c r="Q1056" i="1"/>
  <c r="P1056" i="1"/>
  <c r="O1056" i="1"/>
  <c r="N1056" i="1"/>
  <c r="M1056" i="1"/>
  <c r="K1056" i="1"/>
  <c r="X1052" i="1"/>
  <c r="W1052" i="1"/>
  <c r="S1052" i="1"/>
  <c r="R1052" i="1"/>
  <c r="Q1052" i="1"/>
  <c r="P1052" i="1"/>
  <c r="O1052" i="1"/>
  <c r="N1052" i="1"/>
  <c r="M1052" i="1"/>
  <c r="K1052" i="1"/>
  <c r="X1048" i="1"/>
  <c r="W1048" i="1"/>
  <c r="S1048" i="1"/>
  <c r="R1048" i="1"/>
  <c r="Q1048" i="1"/>
  <c r="P1048" i="1"/>
  <c r="O1048" i="1"/>
  <c r="N1048" i="1"/>
  <c r="M1048" i="1"/>
  <c r="K1048" i="1"/>
  <c r="X1044" i="1"/>
  <c r="W1044" i="1"/>
  <c r="S1044" i="1"/>
  <c r="S1065" i="1" s="1"/>
  <c r="R1044" i="1"/>
  <c r="R1065" i="1" s="1"/>
  <c r="Q1044" i="1"/>
  <c r="P1044" i="1"/>
  <c r="O1044" i="1"/>
  <c r="O1065" i="1" s="1"/>
  <c r="N1044" i="1"/>
  <c r="M1044" i="1"/>
  <c r="M1065" i="1" s="1"/>
  <c r="K1044" i="1"/>
  <c r="K1065" i="1" s="1"/>
  <c r="W1040" i="1"/>
  <c r="S1040" i="1"/>
  <c r="O1040" i="1"/>
  <c r="N1040" i="1"/>
  <c r="X1039" i="1"/>
  <c r="W1039" i="1"/>
  <c r="S1039" i="1"/>
  <c r="R1039" i="1"/>
  <c r="Q1039" i="1"/>
  <c r="P1039" i="1"/>
  <c r="O1039" i="1"/>
  <c r="N1039" i="1"/>
  <c r="M1039" i="1"/>
  <c r="K1039" i="1"/>
  <c r="X1035" i="1"/>
  <c r="W1035" i="1"/>
  <c r="S1035" i="1"/>
  <c r="R1035" i="1"/>
  <c r="Q1035" i="1"/>
  <c r="P1035" i="1"/>
  <c r="O1035" i="1"/>
  <c r="N1035" i="1"/>
  <c r="M1035" i="1"/>
  <c r="K1035" i="1"/>
  <c r="X1031" i="1"/>
  <c r="W1031" i="1"/>
  <c r="S1031" i="1"/>
  <c r="R1031" i="1"/>
  <c r="Q1031" i="1"/>
  <c r="P1031" i="1"/>
  <c r="P1040" i="1" s="1"/>
  <c r="O1031" i="1"/>
  <c r="N1031" i="1"/>
  <c r="M1031" i="1"/>
  <c r="K1031" i="1"/>
  <c r="X1027" i="1"/>
  <c r="X1040" i="1" s="1"/>
  <c r="W1027" i="1"/>
  <c r="S1027" i="1"/>
  <c r="R1027" i="1"/>
  <c r="R1040" i="1" s="1"/>
  <c r="Q1027" i="1"/>
  <c r="Q1040" i="1" s="1"/>
  <c r="P1027" i="1"/>
  <c r="O1027" i="1"/>
  <c r="N1027" i="1"/>
  <c r="M1027" i="1"/>
  <c r="M1040" i="1" s="1"/>
  <c r="K1027" i="1"/>
  <c r="K1040" i="1" s="1"/>
  <c r="W1023" i="1"/>
  <c r="N1023" i="1"/>
  <c r="X1022" i="1"/>
  <c r="W1022" i="1"/>
  <c r="S1022" i="1"/>
  <c r="R1022" i="1"/>
  <c r="Q1022" i="1"/>
  <c r="P1022" i="1"/>
  <c r="O1022" i="1"/>
  <c r="N1022" i="1"/>
  <c r="M1022" i="1"/>
  <c r="K1022" i="1"/>
  <c r="X779" i="1"/>
  <c r="W779" i="1"/>
  <c r="S779" i="1"/>
  <c r="R779" i="1"/>
  <c r="Q779" i="1"/>
  <c r="P779" i="1"/>
  <c r="O779" i="1"/>
  <c r="N779" i="1"/>
  <c r="M779" i="1"/>
  <c r="K779" i="1"/>
  <c r="X775" i="1"/>
  <c r="W775" i="1"/>
  <c r="S775" i="1"/>
  <c r="R775" i="1"/>
  <c r="Q775" i="1"/>
  <c r="P775" i="1"/>
  <c r="P1023" i="1" s="1"/>
  <c r="O775" i="1"/>
  <c r="N775" i="1"/>
  <c r="M775" i="1"/>
  <c r="K775" i="1"/>
  <c r="X771" i="1"/>
  <c r="X1023" i="1" s="1"/>
  <c r="W771" i="1"/>
  <c r="S771" i="1"/>
  <c r="R771" i="1"/>
  <c r="R1023" i="1" s="1"/>
  <c r="Q771" i="1"/>
  <c r="Q1023" i="1" s="1"/>
  <c r="P771" i="1"/>
  <c r="O771" i="1"/>
  <c r="N771" i="1"/>
  <c r="M771" i="1"/>
  <c r="M1023" i="1" s="1"/>
  <c r="K771" i="1"/>
  <c r="O173" i="1"/>
  <c r="X172" i="1"/>
  <c r="W172" i="1"/>
  <c r="S172" i="1"/>
  <c r="R172" i="1"/>
  <c r="Q172" i="1"/>
  <c r="P172" i="1"/>
  <c r="O172" i="1"/>
  <c r="N172" i="1"/>
  <c r="M172" i="1"/>
  <c r="K172" i="1"/>
  <c r="X168" i="1"/>
  <c r="W168" i="1"/>
  <c r="S168" i="1"/>
  <c r="R168" i="1"/>
  <c r="Q168" i="1"/>
  <c r="P168" i="1"/>
  <c r="O168" i="1"/>
  <c r="N168" i="1"/>
  <c r="M168" i="1"/>
  <c r="K168" i="1"/>
  <c r="X164" i="1"/>
  <c r="W164" i="1"/>
  <c r="S164" i="1"/>
  <c r="R164" i="1"/>
  <c r="Q164" i="1"/>
  <c r="P164" i="1"/>
  <c r="O164" i="1"/>
  <c r="N164" i="1"/>
  <c r="M164" i="1"/>
  <c r="K164" i="1"/>
  <c r="X160" i="1"/>
  <c r="W160" i="1"/>
  <c r="S160" i="1"/>
  <c r="S173" i="1" s="1"/>
  <c r="R160" i="1"/>
  <c r="R173" i="1" s="1"/>
  <c r="Q160" i="1"/>
  <c r="Q173" i="1" s="1"/>
  <c r="P160" i="1"/>
  <c r="O160" i="1"/>
  <c r="N160" i="1"/>
  <c r="N173" i="1" s="1"/>
  <c r="M160" i="1"/>
  <c r="M173" i="1" s="1"/>
  <c r="K160" i="1"/>
  <c r="Q112" i="1"/>
  <c r="X111" i="1"/>
  <c r="W111" i="1"/>
  <c r="S111" i="1"/>
  <c r="R111" i="1"/>
  <c r="Q111" i="1"/>
  <c r="P111" i="1"/>
  <c r="O111" i="1"/>
  <c r="N111" i="1"/>
  <c r="M111" i="1"/>
  <c r="K111" i="1"/>
  <c r="X107" i="1"/>
  <c r="W107" i="1"/>
  <c r="S107" i="1"/>
  <c r="R107" i="1"/>
  <c r="Q107" i="1"/>
  <c r="P107" i="1"/>
  <c r="O107" i="1"/>
  <c r="N107" i="1"/>
  <c r="M107" i="1"/>
  <c r="K107" i="1"/>
  <c r="X103" i="1"/>
  <c r="W103" i="1"/>
  <c r="S103" i="1"/>
  <c r="R103" i="1"/>
  <c r="Q103" i="1"/>
  <c r="P103" i="1"/>
  <c r="O103" i="1"/>
  <c r="N103" i="1"/>
  <c r="M103" i="1"/>
  <c r="K103" i="1"/>
  <c r="X99" i="1"/>
  <c r="X112" i="1" s="1"/>
  <c r="W99" i="1"/>
  <c r="W112" i="1" s="1"/>
  <c r="S99" i="1"/>
  <c r="S112" i="1" s="1"/>
  <c r="R99" i="1"/>
  <c r="Q99" i="1"/>
  <c r="P99" i="1"/>
  <c r="P112" i="1" s="1"/>
  <c r="O99" i="1"/>
  <c r="O112" i="1" s="1"/>
  <c r="N99" i="1"/>
  <c r="M99" i="1"/>
  <c r="M112" i="1" s="1"/>
  <c r="K99" i="1"/>
  <c r="K112" i="1" s="1"/>
  <c r="N85" i="1"/>
  <c r="X84" i="1"/>
  <c r="W84" i="1"/>
  <c r="S84" i="1"/>
  <c r="R84" i="1"/>
  <c r="Q84" i="1"/>
  <c r="P84" i="1"/>
  <c r="O84" i="1"/>
  <c r="N84" i="1"/>
  <c r="M84" i="1"/>
  <c r="K84" i="1"/>
  <c r="X80" i="1"/>
  <c r="W80" i="1"/>
  <c r="S80" i="1"/>
  <c r="R80" i="1"/>
  <c r="Q80" i="1"/>
  <c r="P80" i="1"/>
  <c r="O80" i="1"/>
  <c r="N80" i="1"/>
  <c r="M80" i="1"/>
  <c r="K80" i="1"/>
  <c r="X76" i="1"/>
  <c r="W76" i="1"/>
  <c r="S76" i="1"/>
  <c r="R76" i="1"/>
  <c r="Q76" i="1"/>
  <c r="P76" i="1"/>
  <c r="O76" i="1"/>
  <c r="N76" i="1"/>
  <c r="M76" i="1"/>
  <c r="K76" i="1"/>
  <c r="X72" i="1"/>
  <c r="W72" i="1"/>
  <c r="W85" i="1" s="1"/>
  <c r="S72" i="1"/>
  <c r="S85" i="1" s="1"/>
  <c r="R72" i="1"/>
  <c r="R85" i="1" s="1"/>
  <c r="Q72" i="1"/>
  <c r="P72" i="1"/>
  <c r="P85" i="1" s="1"/>
  <c r="O72" i="1"/>
  <c r="O85" i="1" s="1"/>
  <c r="N72" i="1"/>
  <c r="M72" i="1"/>
  <c r="K72" i="1"/>
  <c r="K85" i="1" s="1"/>
  <c r="P63" i="1"/>
  <c r="X62" i="1"/>
  <c r="W62" i="1"/>
  <c r="S62" i="1"/>
  <c r="R62" i="1"/>
  <c r="Q62" i="1"/>
  <c r="P62" i="1"/>
  <c r="O62" i="1"/>
  <c r="N62" i="1"/>
  <c r="M62" i="1"/>
  <c r="K62" i="1"/>
  <c r="X58" i="1"/>
  <c r="W58" i="1"/>
  <c r="S58" i="1"/>
  <c r="R58" i="1"/>
  <c r="Q58" i="1"/>
  <c r="P58" i="1"/>
  <c r="O58" i="1"/>
  <c r="N58" i="1"/>
  <c r="M58" i="1"/>
  <c r="K58" i="1"/>
  <c r="X54" i="1"/>
  <c r="W54" i="1"/>
  <c r="S54" i="1"/>
  <c r="R54" i="1"/>
  <c r="Q54" i="1"/>
  <c r="P54" i="1"/>
  <c r="O54" i="1"/>
  <c r="N54" i="1"/>
  <c r="M54" i="1"/>
  <c r="K54" i="1"/>
  <c r="X50" i="1"/>
  <c r="X63" i="1" s="1"/>
  <c r="W50" i="1"/>
  <c r="W63" i="1" s="1"/>
  <c r="S50" i="1"/>
  <c r="R50" i="1"/>
  <c r="R63" i="1" s="1"/>
  <c r="Q50" i="1"/>
  <c r="Q63" i="1" s="1"/>
  <c r="P50" i="1"/>
  <c r="O50" i="1"/>
  <c r="N50" i="1"/>
  <c r="N63" i="1" s="1"/>
  <c r="M50" i="1"/>
  <c r="M63" i="1" s="1"/>
  <c r="K50" i="1"/>
  <c r="K63" i="1" s="1"/>
  <c r="O45" i="1"/>
  <c r="X44" i="1"/>
  <c r="W44" i="1"/>
  <c r="W1087" i="1" s="1"/>
  <c r="S44" i="1"/>
  <c r="R44" i="1"/>
  <c r="Q44" i="1"/>
  <c r="Q1087" i="1" s="1"/>
  <c r="P44" i="1"/>
  <c r="P1087" i="1" s="1"/>
  <c r="O44" i="1"/>
  <c r="N44" i="1"/>
  <c r="M44" i="1"/>
  <c r="K44" i="1"/>
  <c r="K1087" i="1" s="1"/>
  <c r="X40" i="1"/>
  <c r="W40" i="1"/>
  <c r="S40" i="1"/>
  <c r="S1086" i="1" s="1"/>
  <c r="R40" i="1"/>
  <c r="Q40" i="1"/>
  <c r="P40" i="1"/>
  <c r="O40" i="1"/>
  <c r="N40" i="1"/>
  <c r="N1086" i="1" s="1"/>
  <c r="M40" i="1"/>
  <c r="K40" i="1"/>
  <c r="X36" i="1"/>
  <c r="X1085" i="1" s="1"/>
  <c r="W36" i="1"/>
  <c r="W1085" i="1" s="1"/>
  <c r="S36" i="1"/>
  <c r="R36" i="1"/>
  <c r="Q36" i="1"/>
  <c r="P36" i="1"/>
  <c r="P1085" i="1" s="1"/>
  <c r="O36" i="1"/>
  <c r="N36" i="1"/>
  <c r="M36" i="1"/>
  <c r="M1085" i="1" s="1"/>
  <c r="K36" i="1"/>
  <c r="X32" i="1"/>
  <c r="W32" i="1"/>
  <c r="S32" i="1"/>
  <c r="R32" i="1"/>
  <c r="R1084" i="1" s="1"/>
  <c r="Q32" i="1"/>
  <c r="P32" i="1"/>
  <c r="O32" i="1"/>
  <c r="O1084" i="1" s="1"/>
  <c r="N32" i="1"/>
  <c r="N45" i="1" s="1"/>
  <c r="M32" i="1"/>
  <c r="K32" i="1"/>
  <c r="I328" i="7" l="1"/>
  <c r="R45" i="1"/>
  <c r="S1084" i="1"/>
  <c r="O1086" i="1"/>
  <c r="M1087" i="1"/>
  <c r="S45" i="1"/>
  <c r="S63" i="1"/>
  <c r="M85" i="1"/>
  <c r="X85" i="1"/>
  <c r="N1084" i="1"/>
  <c r="P275" i="7"/>
  <c r="P277" i="7" s="1"/>
  <c r="K143" i="8"/>
  <c r="Q1085" i="1"/>
  <c r="X1087" i="1"/>
  <c r="O63" i="1"/>
  <c r="Q85" i="1"/>
  <c r="N112" i="1"/>
  <c r="N1091" i="1" s="1"/>
  <c r="R112" i="1"/>
  <c r="K173" i="1"/>
  <c r="P173" i="1"/>
  <c r="W173" i="1"/>
  <c r="K1023" i="1"/>
  <c r="V329" i="7"/>
  <c r="O294" i="7"/>
  <c r="O296" i="7" s="1"/>
  <c r="O328" i="7" s="1"/>
  <c r="U96" i="8"/>
  <c r="J73" i="9"/>
  <c r="I416" i="6"/>
  <c r="R328" i="7"/>
  <c r="R329" i="7"/>
  <c r="R144" i="8"/>
  <c r="N1083" i="1"/>
  <c r="N1090" i="1" s="1"/>
  <c r="J362" i="6"/>
  <c r="J364" i="6" s="1"/>
  <c r="K362" i="6"/>
  <c r="K364" i="6" s="1"/>
  <c r="K416" i="6" s="1"/>
  <c r="N329" i="7"/>
  <c r="M325" i="7"/>
  <c r="M327" i="7" s="1"/>
  <c r="U325" i="7"/>
  <c r="U327" i="7" s="1"/>
  <c r="N113" i="8"/>
  <c r="N143" i="8" s="1"/>
  <c r="R113" i="8"/>
  <c r="R143" i="8" s="1"/>
  <c r="V113" i="8"/>
  <c r="V143" i="8" s="1"/>
  <c r="K72" i="9"/>
  <c r="K73" i="9" s="1"/>
  <c r="K1084" i="1"/>
  <c r="P1084" i="1"/>
  <c r="W1084" i="1"/>
  <c r="N1085" i="1"/>
  <c r="R1085" i="1"/>
  <c r="K1086" i="1"/>
  <c r="P1086" i="1"/>
  <c r="W1086" i="1"/>
  <c r="N1087" i="1"/>
  <c r="R1087" i="1"/>
  <c r="K45" i="1"/>
  <c r="K1091" i="1" s="1"/>
  <c r="P45" i="1"/>
  <c r="P1091" i="1" s="1"/>
  <c r="W45" i="1"/>
  <c r="W1091" i="1" s="1"/>
  <c r="O1023" i="1"/>
  <c r="O1091" i="1" s="1"/>
  <c r="S1023" i="1"/>
  <c r="K275" i="7"/>
  <c r="K277" i="7" s="1"/>
  <c r="K329" i="7" s="1"/>
  <c r="O275" i="7"/>
  <c r="O277" i="7" s="1"/>
  <c r="O329" i="7" s="1"/>
  <c r="S275" i="7"/>
  <c r="S277" i="7" s="1"/>
  <c r="S329" i="7" s="1"/>
  <c r="L294" i="7"/>
  <c r="L296" i="7" s="1"/>
  <c r="L328" i="7" s="1"/>
  <c r="P294" i="7"/>
  <c r="P296" i="7" s="1"/>
  <c r="P328" i="7" s="1"/>
  <c r="T294" i="7"/>
  <c r="T296" i="7" s="1"/>
  <c r="T328" i="7" s="1"/>
  <c r="K96" i="8"/>
  <c r="K144" i="8" s="1"/>
  <c r="O96" i="8"/>
  <c r="O144" i="8" s="1"/>
  <c r="S96" i="8"/>
  <c r="S144" i="8" s="1"/>
  <c r="W96" i="8"/>
  <c r="W144" i="8" s="1"/>
  <c r="L113" i="8"/>
  <c r="P113" i="8"/>
  <c r="T113" i="8"/>
  <c r="T143" i="8" s="1"/>
  <c r="L142" i="8"/>
  <c r="P142" i="8"/>
  <c r="T142" i="8"/>
  <c r="L73" i="9"/>
  <c r="L72" i="9"/>
  <c r="M1084" i="1"/>
  <c r="Q1084" i="1"/>
  <c r="X1084" i="1"/>
  <c r="O1085" i="1"/>
  <c r="S1085" i="1"/>
  <c r="M1086" i="1"/>
  <c r="Q1086" i="1"/>
  <c r="X1086" i="1"/>
  <c r="O1087" i="1"/>
  <c r="S1087" i="1"/>
  <c r="M45" i="1"/>
  <c r="M1091" i="1" s="1"/>
  <c r="Q45" i="1"/>
  <c r="X45" i="1"/>
  <c r="X173" i="1"/>
  <c r="M1074" i="1"/>
  <c r="M1088" i="1" s="1"/>
  <c r="Q1074" i="1"/>
  <c r="Q1088" i="1" s="1"/>
  <c r="X1074" i="1"/>
  <c r="X1088" i="1" s="1"/>
  <c r="R1083" i="1"/>
  <c r="R1090" i="1" s="1"/>
  <c r="L275" i="7"/>
  <c r="L277" i="7" s="1"/>
  <c r="L329" i="7" s="1"/>
  <c r="T275" i="7"/>
  <c r="T277" i="7" s="1"/>
  <c r="T329" i="7" s="1"/>
  <c r="M294" i="7"/>
  <c r="M296" i="7" s="1"/>
  <c r="M328" i="7" s="1"/>
  <c r="Q294" i="7"/>
  <c r="Q296" i="7" s="1"/>
  <c r="Q328" i="7" s="1"/>
  <c r="U294" i="7"/>
  <c r="U296" i="7" s="1"/>
  <c r="U328" i="7" s="1"/>
  <c r="M113" i="8"/>
  <c r="M144" i="8" s="1"/>
  <c r="Q113" i="8"/>
  <c r="U113" i="8"/>
  <c r="M142" i="8"/>
  <c r="Q142" i="8"/>
  <c r="U142" i="8"/>
  <c r="Q329" i="7" l="1"/>
  <c r="U144" i="8"/>
  <c r="P329" i="7"/>
  <c r="T144" i="8"/>
  <c r="U143" i="8"/>
  <c r="P143" i="8"/>
  <c r="N144" i="8"/>
  <c r="S1091" i="1"/>
  <c r="R1091" i="1"/>
  <c r="U329" i="7"/>
  <c r="Q143" i="8"/>
  <c r="X1091" i="1"/>
  <c r="L143" i="8"/>
  <c r="L144" i="8"/>
  <c r="M329" i="7"/>
  <c r="M143" i="8"/>
  <c r="Q1091" i="1"/>
  <c r="V144" i="8"/>
  <c r="P144" i="8"/>
  <c r="Q144" i="8"/>
</calcChain>
</file>

<file path=xl/sharedStrings.xml><?xml version="1.0" encoding="utf-8"?>
<sst xmlns="http://schemas.openxmlformats.org/spreadsheetml/2006/main" count="31032" uniqueCount="4437">
  <si>
    <t>P_2020_A_NAIC_SCDPT1</t>
  </si>
  <si>
    <t>Schedule D - Part 1 - Long Term Bonds Owned</t>
  </si>
  <si>
    <t xml:space="preserve">Total Foreign Exchange Change in Book/Adjusted Carrying Value </t>
  </si>
  <si>
    <t/>
  </si>
  <si>
    <t>0599999</t>
  </si>
  <si>
    <t>302154-CW-7</t>
  </si>
  <si>
    <t>Subtotal - Bonds - All Other Governments - Issuer Obligations</t>
  </si>
  <si>
    <t>Subtotal - Bonds - All Other Governments - Residential Mortgage-Backed Securities</t>
  </si>
  <si>
    <t>0900000</t>
  </si>
  <si>
    <t>IDC (Automated)</t>
  </si>
  <si>
    <t>B</t>
  </si>
  <si>
    <t>605581-NE-3</t>
  </si>
  <si>
    <t>MS</t>
  </si>
  <si>
    <t>1100004</t>
  </si>
  <si>
    <t>PENNSYLVANIA ST</t>
  </si>
  <si>
    <t>1399999</t>
  </si>
  <si>
    <t>738850-QN-9</t>
  </si>
  <si>
    <t>Subtotal - Bonds - U.S. Political Subdivisions - Commerciall Mortgage-Backed Securities</t>
  </si>
  <si>
    <t>ALABAMA ECON SETTLEMENT AUTH B</t>
  </si>
  <si>
    <t>2500008</t>
  </si>
  <si>
    <t>23542J-BJ-3</t>
  </si>
  <si>
    <t>ILLINOIS FIN</t>
  </si>
  <si>
    <t>2500019</t>
  </si>
  <si>
    <t>KY</t>
  </si>
  <si>
    <t>646136-TH-4</t>
  </si>
  <si>
    <t>2500026</t>
  </si>
  <si>
    <t>NEW YORK ST DORM AUTH NEW YORK ST DORM A</t>
  </si>
  <si>
    <t>PORT MORROW ORE TRANSMISSION F</t>
  </si>
  <si>
    <t>2500033</t>
  </si>
  <si>
    <t>2500037</t>
  </si>
  <si>
    <t>2500044</t>
  </si>
  <si>
    <t>Subtotal - Bonds - U.S. Special Revenues - Commercial Mortgage-Backed Securities</t>
  </si>
  <si>
    <t>AFLAC INC</t>
  </si>
  <si>
    <t>00817Y-AV-0</t>
  </si>
  <si>
    <t>BEMIS COMPANY INC</t>
  </si>
  <si>
    <t>025816-BR-9</t>
  </si>
  <si>
    <t>025816-BS-7</t>
  </si>
  <si>
    <t>AMERICAN TOWER CORP</t>
  </si>
  <si>
    <t>AMERICAN TOWER CORP AMERICAN TOWER CORPO</t>
  </si>
  <si>
    <t>62QBXGPJ34PQ72Z12S66</t>
  </si>
  <si>
    <t>05531F-AV-5</t>
  </si>
  <si>
    <t>BBVA USA</t>
  </si>
  <si>
    <t>BMW US CAPITAL LLC Series 144A</t>
  </si>
  <si>
    <t>BERRY GLOBAL ESCROW CORPORATIO Series 14</t>
  </si>
  <si>
    <t>BOSTON SCIENTIFIC CORP</t>
  </si>
  <si>
    <t>118230-AN-1</t>
  </si>
  <si>
    <t>BUNGE LIMITED FINANCE CORP BUNGE LIMITED</t>
  </si>
  <si>
    <t>N4NZD428CHASH3MSNS34</t>
  </si>
  <si>
    <t>125523-BV-1</t>
  </si>
  <si>
    <t>12572Q-AE-5</t>
  </si>
  <si>
    <t>CME GROUP INC CME GROUP INC</t>
  </si>
  <si>
    <t>CRH AMERICA FINANCE INC Series 144A</t>
  </si>
  <si>
    <t>134429-BF-5</t>
  </si>
  <si>
    <t>CAPITAL ONE NA</t>
  </si>
  <si>
    <t>14149Y-BA-5</t>
  </si>
  <si>
    <t>14448C-AP-9</t>
  </si>
  <si>
    <t>CATERPILLAR FINANCIAL SERVICES CATERPILL</t>
  </si>
  <si>
    <t>549300Z7JJ4TQSQGT333</t>
  </si>
  <si>
    <t>CHEVRON CORP</t>
  </si>
  <si>
    <t>11KYOFXPU1C4CQL1CL44</t>
  </si>
  <si>
    <t>COLONIAL ENTERPRISES INC Series 144A</t>
  </si>
  <si>
    <t>54930035UDEIH090K650</t>
  </si>
  <si>
    <t>207651-F@-4</t>
  </si>
  <si>
    <t>21036P-AR-9</t>
  </si>
  <si>
    <t>COX COMMUNICATIONS INC</t>
  </si>
  <si>
    <t>233851-BJ-2</t>
  </si>
  <si>
    <t>24422E-UH-0</t>
  </si>
  <si>
    <t>ZQUIP1CSZO8LXRBSOU78</t>
  </si>
  <si>
    <t>260543-CX-9</t>
  </si>
  <si>
    <t>EVERSOURCE ENERGY</t>
  </si>
  <si>
    <t>FIRSTCASH INC Series 144A</t>
  </si>
  <si>
    <t>7YNCQQNDK8FBM9BBTK25</t>
  </si>
  <si>
    <t>FOX CORP</t>
  </si>
  <si>
    <t>9C1X8XOOTYY2FNYTVH06</t>
  </si>
  <si>
    <t>369550-BL-1</t>
  </si>
  <si>
    <t>GRAPHIC PACKAGING INTERNATIONA Series 14</t>
  </si>
  <si>
    <t>21X2CX66SU2BR6QTAD08</t>
  </si>
  <si>
    <t>KNX4USFCNGPY45LOCE31</t>
  </si>
  <si>
    <t>INTERCONTINENTALEXCHANGE INC</t>
  </si>
  <si>
    <t>LEGGETT AND PLATT INCORPORATED</t>
  </si>
  <si>
    <t>52532X-AC-9</t>
  </si>
  <si>
    <t>LEVEL 3 FINANCING INC Series 144A</t>
  </si>
  <si>
    <t>OKXQCBALRQBU7RU5WQ22</t>
  </si>
  <si>
    <t>MARKEL CORPORATION</t>
  </si>
  <si>
    <t>8JB38FFW1Y3C1HM8E841</t>
  </si>
  <si>
    <t>4NYF266XZC35SCTGX023</t>
  </si>
  <si>
    <t>649322-AG-9</t>
  </si>
  <si>
    <t>665228-H*-6</t>
  </si>
  <si>
    <t>665772-CH-0</t>
  </si>
  <si>
    <t>NORTHWEST PIPELINE LLC</t>
  </si>
  <si>
    <t>OREILLY AUTOMOTIVE INC</t>
  </si>
  <si>
    <t>PAYCHEX INC</t>
  </si>
  <si>
    <t>PENSKE TRUCK LEASING COMPANY</t>
  </si>
  <si>
    <t>FJSUNZKFNQ5YPJ5OT455</t>
  </si>
  <si>
    <t>PRINCIPAL LIFE GLOBAL FUNDING Series 144</t>
  </si>
  <si>
    <t>549300WBLU5NKPX5X472</t>
  </si>
  <si>
    <t>75951A-AN-8</t>
  </si>
  <si>
    <t>771196-BL-5</t>
  </si>
  <si>
    <t>824348-AV-8</t>
  </si>
  <si>
    <t>838518-C#-3</t>
  </si>
  <si>
    <t>SOUTHEAST SUPPLY HEADER LLC Series 144A</t>
  </si>
  <si>
    <t>LACLEDE GRP INC.</t>
  </si>
  <si>
    <t>549300DJ09SMTO561131</t>
  </si>
  <si>
    <t>OQSJ1DU9TAOC51A47K68</t>
  </si>
  <si>
    <t>T-MOBILE USA INC</t>
  </si>
  <si>
    <t>TARGA RESOURCES PARTNERS LP Series 144A</t>
  </si>
  <si>
    <t>6OQWTZ1SPC04IFT4T704</t>
  </si>
  <si>
    <t>89788M-AA-0</t>
  </si>
  <si>
    <t>TYSON FOODS INC</t>
  </si>
  <si>
    <t>902494-BJ-1</t>
  </si>
  <si>
    <t>90331H-PL-1</t>
  </si>
  <si>
    <t>904764-BB-2</t>
  </si>
  <si>
    <t>907818-FJ-2</t>
  </si>
  <si>
    <t>UNITED ILLUMINATING CO</t>
  </si>
  <si>
    <t>US BANCORP</t>
  </si>
  <si>
    <t>VALERO ENERGY CORPORATION</t>
  </si>
  <si>
    <t>Y87794H0US1R65VBXU25</t>
  </si>
  <si>
    <t>96145D-AD-7</t>
  </si>
  <si>
    <t>WILLIAMS PRTNRS</t>
  </si>
  <si>
    <t>WISCONSIN GAS CO</t>
  </si>
  <si>
    <t>ALIMENTATION COUCHE-TARD INC Series 144A</t>
  </si>
  <si>
    <t>ALIMENTATION COUCHE-TARD INC</t>
  </si>
  <si>
    <t>ENBRIDGE INC</t>
  </si>
  <si>
    <t>66977W-AQ-2</t>
  </si>
  <si>
    <t>00131L-AB-1</t>
  </si>
  <si>
    <t>AKER BP ASA Series 144A</t>
  </si>
  <si>
    <t>ANGLO AMERICAN CAPITAL PLC Series 144A</t>
  </si>
  <si>
    <t>034863-AS-9</t>
  </si>
  <si>
    <t>034863-AT-7</t>
  </si>
  <si>
    <t>05565Q-DG-0</t>
  </si>
  <si>
    <t>BP CAPITAL MARKETS PLC</t>
  </si>
  <si>
    <t>KIMBERLY CLARK DE MEXICO SAB D</t>
  </si>
  <si>
    <t>NATIONAL AUSTRALIA BANK LIMITE</t>
  </si>
  <si>
    <t>78440P-AE-8</t>
  </si>
  <si>
    <t>SK TELECOM CO LTD</t>
  </si>
  <si>
    <t>SPCM SA Series 144A</t>
  </si>
  <si>
    <t>82481L-AC-3</t>
  </si>
  <si>
    <t>SYNGENTA FINANCE AG Series 144A</t>
  </si>
  <si>
    <t>91020Q-A#-4</t>
  </si>
  <si>
    <t>G3469#-AB-3</t>
  </si>
  <si>
    <t>QUADGAS FINANCE PLC</t>
  </si>
  <si>
    <t>3499999</t>
  </si>
  <si>
    <t>AEP TEXAS CENTRAL TRANSITION F AEP TEXAS</t>
  </si>
  <si>
    <t>11</t>
  </si>
  <si>
    <t>ALLY AUTO RECEIVABLES TRUST AL ALLY AUTO</t>
  </si>
  <si>
    <t>05608T-AA-9</t>
  </si>
  <si>
    <t>CRG ISSUER CRG_17-1</t>
  </si>
  <si>
    <t>CHESAPEAKE FUNDING II  LLC CFI</t>
  </si>
  <si>
    <t>DB MASTER FINANCE LLC DNKN_19- Series 14</t>
  </si>
  <si>
    <t>DB MASTER FINANCE LLC DNKN_19-</t>
  </si>
  <si>
    <t>DISCOVERY CARD EXECUTION NOTE</t>
  </si>
  <si>
    <t>25755T-AG-5</t>
  </si>
  <si>
    <t>DRUG ROYALTY III LP 1 DRUGC_17</t>
  </si>
  <si>
    <t>ENTERPRISE FLEET FINANCING LLC Series 14</t>
  </si>
  <si>
    <t>GFORT_18-2 Series 144A</t>
  </si>
  <si>
    <t>GMF FLOORPLAN OWNER REVOLVING</t>
  </si>
  <si>
    <t>3500100</t>
  </si>
  <si>
    <t>GM FINANCIAL SECURITIZED TERM GMCAR_18-4</t>
  </si>
  <si>
    <t>HYUNDAI AUTO LEASE SECURITIZAT</t>
  </si>
  <si>
    <t>44891R-AF-7</t>
  </si>
  <si>
    <t>571183-AD-4</t>
  </si>
  <si>
    <t>571183-AE-2</t>
  </si>
  <si>
    <t>NAVISTAR FINANCIAL DEALER NOTE</t>
  </si>
  <si>
    <t>NEXTGEAR FLOORPLAN MASTER OWNE</t>
  </si>
  <si>
    <t>SBA TOWER TRUST Series 144A</t>
  </si>
  <si>
    <t>TIF FUNDING II LLC TIF_20-1A</t>
  </si>
  <si>
    <t>87407R-AA-4</t>
  </si>
  <si>
    <t>VERIZON OWNER TRUST VZOT_20-A</t>
  </si>
  <si>
    <t>AIR CANADA 2015-1 CLASS B PASS</t>
  </si>
  <si>
    <t>APIDOS CLO APID_20-33A</t>
  </si>
  <si>
    <t>03768W-AA-3</t>
  </si>
  <si>
    <t>12481X-AS-9</t>
  </si>
  <si>
    <t>14316A-AC-1</t>
  </si>
  <si>
    <t>GALAXY CLO LTD GALXY_18-25A Series 144A</t>
  </si>
  <si>
    <t>OCTAGON INVESTMENT PARTNERS XX Series 14</t>
  </si>
  <si>
    <t>860444-AN-8</t>
  </si>
  <si>
    <t>STEWART PARK CLO LTD STWRT</t>
  </si>
  <si>
    <t>VOYA CLO LTD VOYA_14-4A Series 144A</t>
  </si>
  <si>
    <t>4299999</t>
  </si>
  <si>
    <t>6399999</t>
  </si>
  <si>
    <t>Total - SVO Identified Funds</t>
  </si>
  <si>
    <t xml:space="preserve">Dividends: Declared but Unpaid </t>
  </si>
  <si>
    <t>9000000</t>
  </si>
  <si>
    <t>9299999</t>
  </si>
  <si>
    <t>9600000</t>
  </si>
  <si>
    <t>9899999</t>
  </si>
  <si>
    <t>1700004</t>
  </si>
  <si>
    <t>3100003</t>
  </si>
  <si>
    <t>3100007</t>
  </si>
  <si>
    <t>3100010</t>
  </si>
  <si>
    <t>3100014</t>
  </si>
  <si>
    <t>BANC OF AMERICA SECURITIES LLC</t>
  </si>
  <si>
    <t>3100018</t>
  </si>
  <si>
    <t>3100021</t>
  </si>
  <si>
    <t>3100025</t>
  </si>
  <si>
    <t>3800011</t>
  </si>
  <si>
    <t>BANK OF AMERICA CORP    2.015% 02/13/26</t>
  </si>
  <si>
    <t>BROADCOM INC    4.250% 04/15/26</t>
  </si>
  <si>
    <t>CREDIT SUISSE FIRST BOSTON COR</t>
  </si>
  <si>
    <t>CIT GROUP INC    5.000% 08/01/23</t>
  </si>
  <si>
    <t>FISERV INC    2.250% 06/01/27</t>
  </si>
  <si>
    <t>3800102</t>
  </si>
  <si>
    <t>3800120</t>
  </si>
  <si>
    <t>SUTTER HEALTH    2.294% 08/15/30</t>
  </si>
  <si>
    <t>3800200</t>
  </si>
  <si>
    <t>3800211</t>
  </si>
  <si>
    <t>8399998</t>
  </si>
  <si>
    <t>Total - Common Stocks - Part 5</t>
  </si>
  <si>
    <t>00248Q-AB-0</t>
  </si>
  <si>
    <t>00507V-AH-2</t>
  </si>
  <si>
    <t>AIR LEASE CORPORATION    3.250% 03/01/25</t>
  </si>
  <si>
    <t>AIRGAS INC</t>
  </si>
  <si>
    <t>AMCOR FINANCE USA INC Series 144A</t>
  </si>
  <si>
    <t>AMER AIRL 2013-1 CLASS A</t>
  </si>
  <si>
    <t>AMERICAN AIRLINES 2015-2 CLASS</t>
  </si>
  <si>
    <t>ARBYS_15-1A ARBYS FUNDING LLC ARBYS_15-1</t>
  </si>
  <si>
    <t>BRISTOL-MYERS SQUIBB CO Series 144A</t>
  </si>
  <si>
    <t>125523-BU-3</t>
  </si>
  <si>
    <t>CLI FUNDING LLC CLIF_13-1A</t>
  </si>
  <si>
    <t>14314M-AF-0</t>
  </si>
  <si>
    <t>549300SRP1TQM9JJBG80</t>
  </si>
  <si>
    <t>COLUMBIA PIPELINE GROUP INC</t>
  </si>
  <si>
    <t>212015-AH-4</t>
  </si>
  <si>
    <t>Call      101.3056</t>
  </si>
  <si>
    <t>DELTA AIR LINES 2015-1 CLASS B DELTA AIR</t>
  </si>
  <si>
    <t>Call      101.0346</t>
  </si>
  <si>
    <t>GLOBAL SC FINANCE SRL SEACO_17</t>
  </si>
  <si>
    <t>HUNTINGTON AUTO TRUST HUNT_16-</t>
  </si>
  <si>
    <t>MPLX LP Series 144A    3.500% 12/01/22</t>
  </si>
  <si>
    <t>PFIZER INC    1.950% 06/03/21</t>
  </si>
  <si>
    <t>RELIANCE STANDARD LIFE GLOBAL SERIES 144</t>
  </si>
  <si>
    <t>776743-AA-4</t>
  </si>
  <si>
    <t>SODEXO INC    3.990% 03/04/24</t>
  </si>
  <si>
    <t>89657A-AA-4</t>
  </si>
  <si>
    <t>90932E-AA-1</t>
  </si>
  <si>
    <t>UNITED TECHNOLOGIES</t>
  </si>
  <si>
    <t>WOART_18-D</t>
  </si>
  <si>
    <t>98389B-AT-7</t>
  </si>
  <si>
    <t>59151K-AG-3</t>
  </si>
  <si>
    <t>S2M8QDKEE05NZN8JD460</t>
  </si>
  <si>
    <t>90261X-GD-8</t>
  </si>
  <si>
    <t>Total - Bonds - Part 4</t>
  </si>
  <si>
    <t>Subtotal - Preferred Stock - Alien Insurer</t>
  </si>
  <si>
    <t>1100000</t>
  </si>
  <si>
    <t>Subtotal - Common Stock - Other Affiliates</t>
  </si>
  <si>
    <t>Table</t>
  </si>
  <si>
    <t xml:space="preserve">Interest: Amount Received During Year </t>
  </si>
  <si>
    <t xml:space="preserve">Capital Structure Code </t>
  </si>
  <si>
    <t>FA</t>
  </si>
  <si>
    <t>912828-3D-0</t>
  </si>
  <si>
    <t>FE</t>
  </si>
  <si>
    <t>0300000</t>
  </si>
  <si>
    <t>F</t>
  </si>
  <si>
    <t>0600002</t>
  </si>
  <si>
    <t>1800001</t>
  </si>
  <si>
    <t>542433-GU-5</t>
  </si>
  <si>
    <t>1800005</t>
  </si>
  <si>
    <t>Total - U.S. Political Subdivisions Bonds</t>
  </si>
  <si>
    <t>AL</t>
  </si>
  <si>
    <t>AUBURN UNIVERSITY AUBURN UNIV ALA GEN FE</t>
  </si>
  <si>
    <t>45506D-WP-6</t>
  </si>
  <si>
    <t>LOUISVILLE KY REGL ARPT AUTH A LOUISVILL</t>
  </si>
  <si>
    <t>NEW YORK N Y CITY TRANSITIONAL NEW YORK</t>
  </si>
  <si>
    <t>64990F-YZ-1</t>
  </si>
  <si>
    <t>NEW YORK ST DORM AUTH</t>
  </si>
  <si>
    <t>798153-NJ-7</t>
  </si>
  <si>
    <t>DC</t>
  </si>
  <si>
    <t>WI</t>
  </si>
  <si>
    <t>2699999</t>
  </si>
  <si>
    <t>Subtotal - Bonds - U.S. Special Revenues - Other Loan-Backed and Structured Securities</t>
  </si>
  <si>
    <t>3200004</t>
  </si>
  <si>
    <t>ADVANCE AUTO PARTS INC.</t>
  </si>
  <si>
    <t>3200011</t>
  </si>
  <si>
    <t>549300QKBENKLBXQ8968</t>
  </si>
  <si>
    <t>01882Y-AA-4</t>
  </si>
  <si>
    <t>3200015</t>
  </si>
  <si>
    <t>3.C FE</t>
  </si>
  <si>
    <t>R4PP93JZOLY261QX3811</t>
  </si>
  <si>
    <t>3200022</t>
  </si>
  <si>
    <t>03027X-AZ-3</t>
  </si>
  <si>
    <t>AMGEN INC</t>
  </si>
  <si>
    <t>03523T-BX-5</t>
  </si>
  <si>
    <t>HWUPKR0MPOU8FGXBT394</t>
  </si>
  <si>
    <t>549300LO13MQ9HYSTR83</t>
  </si>
  <si>
    <t>3200040</t>
  </si>
  <si>
    <t>KK5MZM9DIXLXZL9DZL15</t>
  </si>
  <si>
    <t>07330N-AQ-8</t>
  </si>
  <si>
    <t>BRANCH BANKING AND TRUST COMPA</t>
  </si>
  <si>
    <t>BECTON DICKINSON AND COMPANY BECTON DICK</t>
  </si>
  <si>
    <t>09062X-AF-0</t>
  </si>
  <si>
    <t>BOSTON SCIENTIFIC CORP BOSTON SCIENTIFIC</t>
  </si>
  <si>
    <t>BP CAPITAL MARKETS AMERICA INC</t>
  </si>
  <si>
    <t>BROADCOM CORPORATION/BROADCOM</t>
  </si>
  <si>
    <t>5KYC8KF17ROCY24M3H09</t>
  </si>
  <si>
    <t>5FVKT86LAD2F40NPC183</t>
  </si>
  <si>
    <t>125581-HA-9</t>
  </si>
  <si>
    <t>LCZ7XYGSLJUHFXXNXD88</t>
  </si>
  <si>
    <t>CRH AMERICA FINANCE INC</t>
  </si>
  <si>
    <t>5493007JDSMX8Z5Z1902</t>
  </si>
  <si>
    <t>3200102</t>
  </si>
  <si>
    <t>QXZYQNMR4JZ5RIRN4T31</t>
  </si>
  <si>
    <t>3200106</t>
  </si>
  <si>
    <t>21TPXMRRHFKOBHDC8J74</t>
  </si>
  <si>
    <t>3200113</t>
  </si>
  <si>
    <t>3200120</t>
  </si>
  <si>
    <t>17275R-BE-1</t>
  </si>
  <si>
    <t>3200124</t>
  </si>
  <si>
    <t>CITIZENS BANK NA/ PROVIDENCE R CITIZENS</t>
  </si>
  <si>
    <t>TM1ZH54SJKLNHFCBFK92</t>
  </si>
  <si>
    <t>2.A</t>
  </si>
  <si>
    <t>UWJKFUJFZ02DKWI3RY53</t>
  </si>
  <si>
    <t>3200131</t>
  </si>
  <si>
    <t>COMCAST CORPORATION</t>
  </si>
  <si>
    <t>205887-CB-6</t>
  </si>
  <si>
    <t>219350-BB-0</t>
  </si>
  <si>
    <t>COX COMMUNICATIONS INC Series 144A</t>
  </si>
  <si>
    <t>DAIMLER FINANCE NORTH AMERICA</t>
  </si>
  <si>
    <t>DOLLAR GENERAL CORP DOLLAR GENERAL CORP</t>
  </si>
  <si>
    <t>278062-AC-8</t>
  </si>
  <si>
    <t>278865-AU-4</t>
  </si>
  <si>
    <t>549300WW4GBTKHBSQY83</t>
  </si>
  <si>
    <t>FISERV INC</t>
  </si>
  <si>
    <t>FLOWERS FOODS INC FLOWERS FOODS INC</t>
  </si>
  <si>
    <t>3200200</t>
  </si>
  <si>
    <t>3200204</t>
  </si>
  <si>
    <t>MJSD</t>
  </si>
  <si>
    <t>GEORGIA-PACIFIC LLC</t>
  </si>
  <si>
    <t>3200211</t>
  </si>
  <si>
    <t>375558-BC-6</t>
  </si>
  <si>
    <t>3200215</t>
  </si>
  <si>
    <t>GRAPHIC PACKAGING INTERNATIONA</t>
  </si>
  <si>
    <t>3200222</t>
  </si>
  <si>
    <t>HARDWOOD FUNDING LLC/NATIONAL</t>
  </si>
  <si>
    <t>HUBBELL INCORPORATED</t>
  </si>
  <si>
    <t>450636-C*-4</t>
  </si>
  <si>
    <t>3200240</t>
  </si>
  <si>
    <t>JACOBS ENGR GRP INC.</t>
  </si>
  <si>
    <t>JERSEY CTL PWR &amp; LT CO</t>
  </si>
  <si>
    <t>JUNIPER NETWORKS INC</t>
  </si>
  <si>
    <t>487836-BS-6</t>
  </si>
  <si>
    <t>LIBERTY UTILITIES FINANCE GP1</t>
  </si>
  <si>
    <t>EFQMQROEDSNBRIP7LE47</t>
  </si>
  <si>
    <t>MPLX LP</t>
  </si>
  <si>
    <t>MCDONALDS CORP</t>
  </si>
  <si>
    <t>3200302</t>
  </si>
  <si>
    <t>3200306</t>
  </si>
  <si>
    <t>617446-8Q-5</t>
  </si>
  <si>
    <t>3200313</t>
  </si>
  <si>
    <t>61761J-3R-8</t>
  </si>
  <si>
    <t>3200320</t>
  </si>
  <si>
    <t>NATIONAL RURAL UTILITIES COOP NATIONAL R</t>
  </si>
  <si>
    <t>19EOSPKL8HML7MY3UE63</t>
  </si>
  <si>
    <t>64952W-CE-1</t>
  </si>
  <si>
    <t>3200331</t>
  </si>
  <si>
    <t>64952W-DS-9</t>
  </si>
  <si>
    <t>651587-AF-4</t>
  </si>
  <si>
    <t>NORTHERN STATES PWR CO</t>
  </si>
  <si>
    <t>66775V-AB-1</t>
  </si>
  <si>
    <t>549300GGJCRSI2TIEJ46</t>
  </si>
  <si>
    <t>ONEOK INC</t>
  </si>
  <si>
    <t>2T3D6M0JSY48PSZI1Q41</t>
  </si>
  <si>
    <t>709599-AV-6</t>
  </si>
  <si>
    <t>765LHXWGK1KXCLTFYQ30</t>
  </si>
  <si>
    <t>717081-EN-9</t>
  </si>
  <si>
    <t>741503-BC-9</t>
  </si>
  <si>
    <t>806851-AJ-0</t>
  </si>
  <si>
    <t>3200400</t>
  </si>
  <si>
    <t>3200404</t>
  </si>
  <si>
    <t>3200411</t>
  </si>
  <si>
    <t>867914-BK-8</t>
  </si>
  <si>
    <t>867914-BM-4</t>
  </si>
  <si>
    <t>TD AMERITRADE HOLDING CORPORAT</t>
  </si>
  <si>
    <t>87264A-BH-7</t>
  </si>
  <si>
    <t>T-MOBILE USA INC Series 144A</t>
  </si>
  <si>
    <t>3200422</t>
  </si>
  <si>
    <t>87901J-AF-2</t>
  </si>
  <si>
    <t>89236T-DK-8</t>
  </si>
  <si>
    <t>902494-BG-7</t>
  </si>
  <si>
    <t>US BANK NATIONAL ASSOCIATION US BANK NA/</t>
  </si>
  <si>
    <t>3200440</t>
  </si>
  <si>
    <t>UNITED PARCEL SERVICE INC</t>
  </si>
  <si>
    <t>92203#-AT-5</t>
  </si>
  <si>
    <t>THE VANGUARD GROUP INC</t>
  </si>
  <si>
    <t>VOYA FINANCIAL INC</t>
  </si>
  <si>
    <t>WASTE CONNECTIONS INC.</t>
  </si>
  <si>
    <t>95000U-2C-6</t>
  </si>
  <si>
    <t>G8967#-AR-4</t>
  </si>
  <si>
    <t>064159-TF-3</t>
  </si>
  <si>
    <t>124900-AB-7</t>
  </si>
  <si>
    <t>METHANEX CORPORATION</t>
  </si>
  <si>
    <t>NOVA CHEMICALS CORP</t>
  </si>
  <si>
    <t>67077M-AD-0</t>
  </si>
  <si>
    <t>IRVING OIL LTD</t>
  </si>
  <si>
    <t>C4861*-AR-8</t>
  </si>
  <si>
    <t>3200502</t>
  </si>
  <si>
    <t>ALCOA NEDERLAND HOLDING BV Series 144A</t>
  </si>
  <si>
    <t>TINT358G1SSHR3L3PW36</t>
  </si>
  <si>
    <t>ATRESMEDIA CORPORACION DE MEDI</t>
  </si>
  <si>
    <t>05401A-AJ-0</t>
  </si>
  <si>
    <t>3200513</t>
  </si>
  <si>
    <t>BNP PARIBAS SA Series 144A</t>
  </si>
  <si>
    <t>3200520</t>
  </si>
  <si>
    <t>CK HUTCHISON INTERNATIONAL (17 Series 14</t>
  </si>
  <si>
    <t>DELOITTE  LLP</t>
  </si>
  <si>
    <t>DEUTSCHE TELEKOM INTERNATIONAL DEUTSCHE</t>
  </si>
  <si>
    <t>26835P-AF-7</t>
  </si>
  <si>
    <t>3200531</t>
  </si>
  <si>
    <t>478375-AF-5</t>
  </si>
  <si>
    <t>494386-AB-1</t>
  </si>
  <si>
    <t>VODAFONE GROUP PLC</t>
  </si>
  <si>
    <t>A3158#-AG-4</t>
  </si>
  <si>
    <t>G2242#-AA-1</t>
  </si>
  <si>
    <t>21380039TFZL6W7BQB23</t>
  </si>
  <si>
    <t>00115B-AB-3</t>
  </si>
  <si>
    <t>3500002</t>
  </si>
  <si>
    <t>MON</t>
  </si>
  <si>
    <t>3500006</t>
  </si>
  <si>
    <t>AVIS BUDGET RENTAL CAR FUNDING</t>
  </si>
  <si>
    <t>3500013</t>
  </si>
  <si>
    <t>3500017</t>
  </si>
  <si>
    <t>12509D-AC-6</t>
  </si>
  <si>
    <t>CCG RECEIVABLES TRUST CCG_20-1 Series 14</t>
  </si>
  <si>
    <t>3500020</t>
  </si>
  <si>
    <t>12509D-AD-4</t>
  </si>
  <si>
    <t>3500024</t>
  </si>
  <si>
    <t>CCG RECEIVABLES TRUST CCG_19-1</t>
  </si>
  <si>
    <t>3500031</t>
  </si>
  <si>
    <t>3500035</t>
  </si>
  <si>
    <t>14316H-AE-2</t>
  </si>
  <si>
    <t>14687A-AR-9</t>
  </si>
  <si>
    <t>3500042</t>
  </si>
  <si>
    <t>3500060</t>
  </si>
  <si>
    <t>DRUG ROYALTY III LP 1 DRUGC_18 Series 14</t>
  </si>
  <si>
    <t>GMF FLOORPLAN OWNER REVOLVING Series 144</t>
  </si>
  <si>
    <t>36254M-AG-3</t>
  </si>
  <si>
    <t>GM FINANCIAL SECURITIZED TERM</t>
  </si>
  <si>
    <t>3500104</t>
  </si>
  <si>
    <t>3500108</t>
  </si>
  <si>
    <t>3500111</t>
  </si>
  <si>
    <t>HIN TIMESHARE TRUST HINTT_20-A</t>
  </si>
  <si>
    <t>3500115</t>
  </si>
  <si>
    <t>HGVT_19-AA Series 144A</t>
  </si>
  <si>
    <t>44891P-AE-4</t>
  </si>
  <si>
    <t>3500122</t>
  </si>
  <si>
    <t>MMAF EQUIPMENT FINANCE LLC MMA</t>
  </si>
  <si>
    <t>3500126</t>
  </si>
  <si>
    <t>MVW OWNER TRUST MVWOT_17-1A Series 144A</t>
  </si>
  <si>
    <t>MVW OWNER TRUST MVWOT_19-1A</t>
  </si>
  <si>
    <t>3500133</t>
  </si>
  <si>
    <t>3500140</t>
  </si>
  <si>
    <t>60700M-AC-2</t>
  </si>
  <si>
    <t>60700M-AD-0</t>
  </si>
  <si>
    <t>3500151</t>
  </si>
  <si>
    <t>78403D-AN-0</t>
  </si>
  <si>
    <t>TACO BELL FUNDING LLC BELL_18-</t>
  </si>
  <si>
    <t>90782J-AA-1</t>
  </si>
  <si>
    <t>VSE VOI MORTGAGE LLC VSTNA_18- Series 14</t>
  </si>
  <si>
    <t>VERIZON OWNER TRUST VZOT_18-A</t>
  </si>
  <si>
    <t>3500202</t>
  </si>
  <si>
    <t>AIR CANADA</t>
  </si>
  <si>
    <t>3500206</t>
  </si>
  <si>
    <t>3500213</t>
  </si>
  <si>
    <t>12482X-AC-3</t>
  </si>
  <si>
    <t>3500217</t>
  </si>
  <si>
    <t>3500220</t>
  </si>
  <si>
    <t>CIFC FUNDING LTD CIFC_16-1A Series 144A</t>
  </si>
  <si>
    <t>3500224</t>
  </si>
  <si>
    <t>3500231</t>
  </si>
  <si>
    <t>VOYA CLO LTD VOYA_13-1A Series 144A</t>
  </si>
  <si>
    <t>5300000</t>
  </si>
  <si>
    <t>5599999</t>
  </si>
  <si>
    <t>5900000</t>
  </si>
  <si>
    <t>Schedule D - Part 2 - Section 2 - Common Stocks Owned</t>
  </si>
  <si>
    <t xml:space="preserve">Dividends: Amount Received During Year </t>
  </si>
  <si>
    <t>Subtotal - Common Stock - Industrial and Miscellaneous (Unaffiliated) Publicly Traded</t>
  </si>
  <si>
    <t>Subtotal - Common Stock - Parent, Subsidiaries and Affiliates Publicly Traded</t>
  </si>
  <si>
    <t>2400000</t>
  </si>
  <si>
    <t>3100029</t>
  </si>
  <si>
    <t>3800004</t>
  </si>
  <si>
    <t>3800008</t>
  </si>
  <si>
    <t>DEUTSCHE BANK SECURITIES INC.</t>
  </si>
  <si>
    <t>3800015</t>
  </si>
  <si>
    <t>3800019</t>
  </si>
  <si>
    <t>3800022</t>
  </si>
  <si>
    <t>3800026</t>
  </si>
  <si>
    <t>3800033</t>
  </si>
  <si>
    <t>3800037</t>
  </si>
  <si>
    <t>3800040</t>
  </si>
  <si>
    <t>3800044</t>
  </si>
  <si>
    <t>3800051</t>
  </si>
  <si>
    <t>CIMAREX ENERGY CO.    3.900% 05/15/27</t>
  </si>
  <si>
    <t>3800062</t>
  </si>
  <si>
    <t>SCOTIA CAPITAL</t>
  </si>
  <si>
    <t>3800080</t>
  </si>
  <si>
    <t>3800106</t>
  </si>
  <si>
    <t>3800113</t>
  </si>
  <si>
    <t>3800117</t>
  </si>
  <si>
    <t>3800124</t>
  </si>
  <si>
    <t>3800128</t>
  </si>
  <si>
    <t>JPMORGAN CHASE &amp; CO    1.045% 11/19/26</t>
  </si>
  <si>
    <t>3800131</t>
  </si>
  <si>
    <t>3800135</t>
  </si>
  <si>
    <t>3800142</t>
  </si>
  <si>
    <t>3800146</t>
  </si>
  <si>
    <t>3800153</t>
  </si>
  <si>
    <t>3800160</t>
  </si>
  <si>
    <t>3800171</t>
  </si>
  <si>
    <t>3800204</t>
  </si>
  <si>
    <t>3800208</t>
  </si>
  <si>
    <t>3800215</t>
  </si>
  <si>
    <t>3800219</t>
  </si>
  <si>
    <t>3800222</t>
  </si>
  <si>
    <t>3800226</t>
  </si>
  <si>
    <t>3800233</t>
  </si>
  <si>
    <t>3800237</t>
  </si>
  <si>
    <t>3800240</t>
  </si>
  <si>
    <t>3800244</t>
  </si>
  <si>
    <t>3800251</t>
  </si>
  <si>
    <t>3800262</t>
  </si>
  <si>
    <t>Subtotal - Bonds - Industrial and Miscellaneous (Unaffiliated)</t>
  </si>
  <si>
    <t>Subtotal - Bonds - Hybrid Securities</t>
  </si>
  <si>
    <t>8200000</t>
  </si>
  <si>
    <t>8499999</t>
  </si>
  <si>
    <t>Subtotal - Common Stocks - Industrial and Miscellaneous (Unaffiliated) Publicly Traded</t>
  </si>
  <si>
    <t>Totals</t>
  </si>
  <si>
    <t xml:space="preserve">Total Foreign Exchange Change in Book /Adjusted Carrying Value </t>
  </si>
  <si>
    <t>Call      100.0000</t>
  </si>
  <si>
    <t>HONOLULU HAWAII CITY AND CNTY</t>
  </si>
  <si>
    <t>AEGON FUNDING CO LLC    5.750% 12/15/20</t>
  </si>
  <si>
    <t>02343U-AC-9</t>
  </si>
  <si>
    <t>02582J-JB-7</t>
  </si>
  <si>
    <t>05531F-AU-7</t>
  </si>
  <si>
    <t>38141G-VP-6</t>
  </si>
  <si>
    <t>486606-L*-5</t>
  </si>
  <si>
    <t>571183-AC-6</t>
  </si>
  <si>
    <t>Call      103.4530</t>
  </si>
  <si>
    <t>WASTE MANAGEMENT INC    3.200% 06/15/26</t>
  </si>
  <si>
    <t>549300HD9Q1LOC9KLJ48</t>
  </si>
  <si>
    <t>009089-AA-1</t>
  </si>
  <si>
    <t>Call      106.1648</t>
  </si>
  <si>
    <t>BG ENERGY CAPITAL PLC    4.000% 12/09/20</t>
  </si>
  <si>
    <t>CAL FUNDING LTD CAI_18-1A</t>
  </si>
  <si>
    <t>Call      112.9976</t>
  </si>
  <si>
    <t>90265U-A@-3</t>
  </si>
  <si>
    <t>P_2020_A_NAIC_SCDPT5</t>
  </si>
  <si>
    <t>Subtotal - Preferred Stock - U.S. Life Insurer</t>
  </si>
  <si>
    <t>GMIC</t>
  </si>
  <si>
    <t xml:space="preserve">SVO Administrative Symbol </t>
  </si>
  <si>
    <t xml:space="preserve">Rate Used to Obtain Fair Value </t>
  </si>
  <si>
    <t xml:space="preserve">State Code </t>
  </si>
  <si>
    <t xml:space="preserve">Issue </t>
  </si>
  <si>
    <t>912828-R7-7</t>
  </si>
  <si>
    <t>912828-V9-8</t>
  </si>
  <si>
    <t>MISSISSIPPI ST</t>
  </si>
  <si>
    <t>1299999</t>
  </si>
  <si>
    <t>Subtotal - Bonds - U.S. States, Territories and Possessions - Commercial Mortgage-Backed Securities</t>
  </si>
  <si>
    <t>1800009</t>
  </si>
  <si>
    <t>1899999</t>
  </si>
  <si>
    <t>2099999</t>
  </si>
  <si>
    <t>1.G FE</t>
  </si>
  <si>
    <t>DALLAS TEX WTRWKS &amp; SWR SYS RE DALLAS TE</t>
  </si>
  <si>
    <t>LOUISVILLE KY REGL ARPT AUTH A</t>
  </si>
  <si>
    <t>549300YUVD5TEXR6L889</t>
  </si>
  <si>
    <t>SAN JOSE CALIF FING AUTH LEASE</t>
  </si>
  <si>
    <t>TAMPA-HILLSBOROUGH CNTY FLA EX TAMPA-HIL</t>
  </si>
  <si>
    <t>TEXAS A &amp; M UNIVERSITY TEXAS A &amp; M UNIV</t>
  </si>
  <si>
    <t>00287Y-AX-7</t>
  </si>
  <si>
    <t>3200008</t>
  </si>
  <si>
    <t>3200019</t>
  </si>
  <si>
    <t>3200026</t>
  </si>
  <si>
    <t>549300D3L3G0R4U4VT04</t>
  </si>
  <si>
    <t>3200033</t>
  </si>
  <si>
    <t>ANTERO MIDSTREAM LLC Series 144A</t>
  </si>
  <si>
    <t>3200037</t>
  </si>
  <si>
    <t>3200044</t>
  </si>
  <si>
    <t>3200048</t>
  </si>
  <si>
    <t>3200051</t>
  </si>
  <si>
    <t>3200055</t>
  </si>
  <si>
    <t>BAXTER INTERNATIONAL INC.</t>
  </si>
  <si>
    <t>BEAM INC</t>
  </si>
  <si>
    <t>3200062</t>
  </si>
  <si>
    <t>3200066</t>
  </si>
  <si>
    <t>3200073</t>
  </si>
  <si>
    <t>BRISTOL-MYERS SQUIBB CO</t>
  </si>
  <si>
    <t>BROADCOM CORP/BROADCOM CAYMAN</t>
  </si>
  <si>
    <t>BUCKEYE PARTNERS</t>
  </si>
  <si>
    <t>3.B FE</t>
  </si>
  <si>
    <t>3200080</t>
  </si>
  <si>
    <t>120568-AY-6</t>
  </si>
  <si>
    <t>3200084</t>
  </si>
  <si>
    <t>124857-AY-9</t>
  </si>
  <si>
    <t>125581-GR-3</t>
  </si>
  <si>
    <t>3200091</t>
  </si>
  <si>
    <t>12636Y-AC-6</t>
  </si>
  <si>
    <t>12656*-AG-7</t>
  </si>
  <si>
    <t>1.G</t>
  </si>
  <si>
    <t>CAMPBELL SOUP COMPANY</t>
  </si>
  <si>
    <t>CELANESE US HOLDINGS LLC</t>
  </si>
  <si>
    <t>3200117</t>
  </si>
  <si>
    <t>CITIZENS BANK NA/ PROVIDENCE R</t>
  </si>
  <si>
    <t>2138004JDDA4ZQUPFW65</t>
  </si>
  <si>
    <t>3200128</t>
  </si>
  <si>
    <t>3200135</t>
  </si>
  <si>
    <t>20605P-AH-4</t>
  </si>
  <si>
    <t>3200139</t>
  </si>
  <si>
    <t>3200142</t>
  </si>
  <si>
    <t>3200146</t>
  </si>
  <si>
    <t>54930012H97VSM0I2R19</t>
  </si>
  <si>
    <t>233851-DW-1</t>
  </si>
  <si>
    <t>3200153</t>
  </si>
  <si>
    <t>3200157</t>
  </si>
  <si>
    <t>3200160</t>
  </si>
  <si>
    <t>3200164</t>
  </si>
  <si>
    <t>3200171</t>
  </si>
  <si>
    <t>3200175</t>
  </si>
  <si>
    <t>3200182</t>
  </si>
  <si>
    <t>FOOTBALL CLUB TERM NOTES 2033</t>
  </si>
  <si>
    <t>34959J-AG-3</t>
  </si>
  <si>
    <t>369550-AR-9</t>
  </si>
  <si>
    <t>3200208</t>
  </si>
  <si>
    <t>3200219</t>
  </si>
  <si>
    <t>410345-AJ-1</t>
  </si>
  <si>
    <t>3200226</t>
  </si>
  <si>
    <t>41242*-BE-1</t>
  </si>
  <si>
    <t>3200233</t>
  </si>
  <si>
    <t>5493007GBY3OBTILCX44</t>
  </si>
  <si>
    <t>3200237</t>
  </si>
  <si>
    <t>3200244</t>
  </si>
  <si>
    <t>JPMORGAN CHASE &amp; CO</t>
  </si>
  <si>
    <t>3200248</t>
  </si>
  <si>
    <t>3200251</t>
  </si>
  <si>
    <t>JACOBS ENGINEERING GROUP INC.</t>
  </si>
  <si>
    <t>549300X3U061YA2WQ160</t>
  </si>
  <si>
    <t>3200255</t>
  </si>
  <si>
    <t>LONOZNOJYIBXOHXWDB86</t>
  </si>
  <si>
    <t>3200262</t>
  </si>
  <si>
    <t>LABORATORY CORPORATION OF</t>
  </si>
  <si>
    <t>3200266</t>
  </si>
  <si>
    <t>LEIDOS INC Series 144A</t>
  </si>
  <si>
    <t>LIBERTY MUTUAL GROUP INC LIBERTY MUTUAL</t>
  </si>
  <si>
    <t>3200273</t>
  </si>
  <si>
    <t>539830-BH-1</t>
  </si>
  <si>
    <t>3200280</t>
  </si>
  <si>
    <t>3C</t>
  </si>
  <si>
    <t>549300SCNO12JLWIK605</t>
  </si>
  <si>
    <t>3200291</t>
  </si>
  <si>
    <t>581557-BE-4</t>
  </si>
  <si>
    <t>MIDWEST CONNECTOR CAPITAL COMP Series 14</t>
  </si>
  <si>
    <t>MIDWEST CONNECTOR CAPITAL COMP</t>
  </si>
  <si>
    <t>549300DV9GIB88LZ5P30</t>
  </si>
  <si>
    <t>609207-AR-6</t>
  </si>
  <si>
    <t>61945C-AF-0</t>
  </si>
  <si>
    <t>NFL VENTURES LP</t>
  </si>
  <si>
    <t>3200317</t>
  </si>
  <si>
    <t>NATIONAL FOOTBALL LEAGUE</t>
  </si>
  <si>
    <t>3200324</t>
  </si>
  <si>
    <t>NEW JERSEY RSRCE CORP NEW JERSEY RESOURC</t>
  </si>
  <si>
    <t>3200328</t>
  </si>
  <si>
    <t>665228-C@-9</t>
  </si>
  <si>
    <t>3200335</t>
  </si>
  <si>
    <t>666807-BM-3</t>
  </si>
  <si>
    <t>3200339</t>
  </si>
  <si>
    <t>3200342</t>
  </si>
  <si>
    <t>3200346</t>
  </si>
  <si>
    <t>PVH CORP</t>
  </si>
  <si>
    <t>3200353</t>
  </si>
  <si>
    <t>3200357</t>
  </si>
  <si>
    <t>3200360</t>
  </si>
  <si>
    <t>PIONEER NAT RES CO PIONEER NATURAL RESOU</t>
  </si>
  <si>
    <t>PIONEER NAT RES CO</t>
  </si>
  <si>
    <t>3200364</t>
  </si>
  <si>
    <t>3200371</t>
  </si>
  <si>
    <t>3200375</t>
  </si>
  <si>
    <t>3200382</t>
  </si>
  <si>
    <t>761152-A*-8</t>
  </si>
  <si>
    <t>PVJRP0EQNV6OGDPZGY95</t>
  </si>
  <si>
    <t>529900IKZG65COT1D505</t>
  </si>
  <si>
    <t>CHARLES SCHWAB CORP CHARLES SCHWAB CORPO</t>
  </si>
  <si>
    <t>STARBUCKS CORP STARBUCKS CORPORATION</t>
  </si>
  <si>
    <t>3200408</t>
  </si>
  <si>
    <t>STRYKER CORP STRYKER CORPORATION</t>
  </si>
  <si>
    <t>3200415</t>
  </si>
  <si>
    <t>3200419</t>
  </si>
  <si>
    <t>549300V2JRLO5DIFGE82</t>
  </si>
  <si>
    <t>3200426</t>
  </si>
  <si>
    <t>Z2VZBHUMB7PWWJ63I008</t>
  </si>
  <si>
    <t>3200433</t>
  </si>
  <si>
    <t>3200437</t>
  </si>
  <si>
    <t>549300LMMRSZZCZ8CL11</t>
  </si>
  <si>
    <t>911312-BX-3</t>
  </si>
  <si>
    <t>3200444</t>
  </si>
  <si>
    <t>3200448</t>
  </si>
  <si>
    <t>3200451</t>
  </si>
  <si>
    <t>VANGUARD GROUP INC/THE</t>
  </si>
  <si>
    <t>3200455</t>
  </si>
  <si>
    <t>3200462</t>
  </si>
  <si>
    <t>94988J-6A-0</t>
  </si>
  <si>
    <t>3200466</t>
  </si>
  <si>
    <t>3200473</t>
  </si>
  <si>
    <t>3200480</t>
  </si>
  <si>
    <t>F9120#-AA-4</t>
  </si>
  <si>
    <t>01626P-AM-8</t>
  </si>
  <si>
    <t>3200491</t>
  </si>
  <si>
    <t>METHANEX CORP METHANEX CORPORATION</t>
  </si>
  <si>
    <t>549300WHE4O6UJ2KU013</t>
  </si>
  <si>
    <t>AIA GROUP LTD Series 144A</t>
  </si>
  <si>
    <t>ZP5ILWVSYE4LJGMMVD57</t>
  </si>
  <si>
    <t>AKER BP ASA</t>
  </si>
  <si>
    <t>3200506</t>
  </si>
  <si>
    <t>ATRESMEDIA CORPORACION DE MEDI ATRESMEDI</t>
  </si>
  <si>
    <t>05578A-AA-6</t>
  </si>
  <si>
    <t>3200517</t>
  </si>
  <si>
    <t>3200524</t>
  </si>
  <si>
    <t>22535W-AG-2</t>
  </si>
  <si>
    <t>3200528</t>
  </si>
  <si>
    <t>Enstar Group ENSTAR GROUP LTD</t>
  </si>
  <si>
    <t>33938X-AC-9</t>
  </si>
  <si>
    <t>37254B-AB-6</t>
  </si>
  <si>
    <t>HOMESERVE PLC</t>
  </si>
  <si>
    <t>3200535</t>
  </si>
  <si>
    <t>3200539</t>
  </si>
  <si>
    <t>ING GROEP NV</t>
  </si>
  <si>
    <t>3200542</t>
  </si>
  <si>
    <t>KIMBERLY CLARK DE MEXICO SAB D KIMBERLY-</t>
  </si>
  <si>
    <t>LLOYDS BANKING GROUP PLC</t>
  </si>
  <si>
    <t>3200546</t>
  </si>
  <si>
    <t>62947Q-AZ-1</t>
  </si>
  <si>
    <t>NXP BV AND NXP FUNDING LLC Series 144A</t>
  </si>
  <si>
    <t>3200553</t>
  </si>
  <si>
    <t>74977R-DH-4</t>
  </si>
  <si>
    <t>3200557</t>
  </si>
  <si>
    <t>ROYALTY PHARMA PLC</t>
  </si>
  <si>
    <t>3200560</t>
  </si>
  <si>
    <t>3200564</t>
  </si>
  <si>
    <t>SOCIETE GENERALE Series 144A</t>
  </si>
  <si>
    <t>SOCIETE GENERALE</t>
  </si>
  <si>
    <t>85325W-AA-6</t>
  </si>
  <si>
    <t>3200571</t>
  </si>
  <si>
    <t>UNITED ENERGY DISTRIBUTION PTY</t>
  </si>
  <si>
    <t>3200582</t>
  </si>
  <si>
    <t>3.C Z</t>
  </si>
  <si>
    <t>3.C</t>
  </si>
  <si>
    <t>02005A-GU-6</t>
  </si>
  <si>
    <t>038779-AB-0</t>
  </si>
  <si>
    <t>ASCENTIUM EQUIPMENT RECEIVABLE Series 14</t>
  </si>
  <si>
    <t>12563L-AL-1</t>
  </si>
  <si>
    <t>CLI FUNDING LLC CLIF_20-1A</t>
  </si>
  <si>
    <t>3500028</t>
  </si>
  <si>
    <t>12652V-AE-7</t>
  </si>
  <si>
    <t>CRG PARTNERS TRUST CRG_17-1</t>
  </si>
  <si>
    <t>14313F-AF-6</t>
  </si>
  <si>
    <t>CARVANA AUTO RECEIVABLES TRUST</t>
  </si>
  <si>
    <t>3500039</t>
  </si>
  <si>
    <t>165183-BC-7</t>
  </si>
  <si>
    <t>165183-BD-5</t>
  </si>
  <si>
    <t>3500046</t>
  </si>
  <si>
    <t>165183-BV-5</t>
  </si>
  <si>
    <t>165183-BW-3</t>
  </si>
  <si>
    <t>165183-BX-1</t>
  </si>
  <si>
    <t>CHESAPEAKE FUNDING II  LLC CFI Series 14</t>
  </si>
  <si>
    <t>3500053</t>
  </si>
  <si>
    <t>17305E-GF-6</t>
  </si>
  <si>
    <t>3500057</t>
  </si>
  <si>
    <t>24704D-AG-5</t>
  </si>
  <si>
    <t>3500064</t>
  </si>
  <si>
    <t>24704G-AD-5</t>
  </si>
  <si>
    <t>24704G-AE-3</t>
  </si>
  <si>
    <t>3500068</t>
  </si>
  <si>
    <t>DOMINOS PIZZA MASTER ISSUER LL Series 14</t>
  </si>
  <si>
    <t>3500071</t>
  </si>
  <si>
    <t>26224H-AE-7</t>
  </si>
  <si>
    <t>3500075</t>
  </si>
  <si>
    <t>3500082</t>
  </si>
  <si>
    <t>3500086</t>
  </si>
  <si>
    <t>GM FINANCIAL CONSUMER AUTOMOBI</t>
  </si>
  <si>
    <t>3500093</t>
  </si>
  <si>
    <t>36259K-AG-2</t>
  </si>
  <si>
    <t>HPEFS EQUIPMENT TRUST HPEFS_20</t>
  </si>
  <si>
    <t>43284B-AA-0</t>
  </si>
  <si>
    <t>3500119</t>
  </si>
  <si>
    <t>549300Y5CF8WQOLGBR17</t>
  </si>
  <si>
    <t>5493004KX4H48P1FVD32</t>
  </si>
  <si>
    <t>3500137</t>
  </si>
  <si>
    <t>MMAF EQUIPMENT FINANCE LLC MMA MMAF EQUI</t>
  </si>
  <si>
    <t>3500144</t>
  </si>
  <si>
    <t>3500148</t>
  </si>
  <si>
    <t>3500155</t>
  </si>
  <si>
    <t>3500159</t>
  </si>
  <si>
    <t>82652W-AA-6</t>
  </si>
  <si>
    <t>82652W-AB-4</t>
  </si>
  <si>
    <t>3500162</t>
  </si>
  <si>
    <t>3500166</t>
  </si>
  <si>
    <t>872480-AA-6</t>
  </si>
  <si>
    <t>3500173</t>
  </si>
  <si>
    <t>3500177</t>
  </si>
  <si>
    <t>3500180</t>
  </si>
  <si>
    <t>3500184</t>
  </si>
  <si>
    <t>3500191</t>
  </si>
  <si>
    <t>92888C-AF-4</t>
  </si>
  <si>
    <t>3500195</t>
  </si>
  <si>
    <t>00908P-AA-5</t>
  </si>
  <si>
    <t>CAL FUNDING IV LTD CAI_20-1A</t>
  </si>
  <si>
    <t>3500228</t>
  </si>
  <si>
    <t>55954K-AC-9</t>
  </si>
  <si>
    <t>3500235</t>
  </si>
  <si>
    <t>3500239</t>
  </si>
  <si>
    <t>4500000</t>
  </si>
  <si>
    <t>Subtotal - Bonds - Parent, Subsidiaries and Affiliates - Other Loan-Backed and Structured Securities</t>
  </si>
  <si>
    <t>7699999</t>
  </si>
  <si>
    <t>9799999</t>
  </si>
  <si>
    <t>Subtotal - Bonds - U.S. Special Revenues</t>
  </si>
  <si>
    <t>3800048</t>
  </si>
  <si>
    <t>CHICK-FIL-A INC    1.900% 10/29/28</t>
  </si>
  <si>
    <t>3800055</t>
  </si>
  <si>
    <t>3800059</t>
  </si>
  <si>
    <t>COCA-COLA COMPANY THE    2.950% 03/25/25</t>
  </si>
  <si>
    <t>3800066</t>
  </si>
  <si>
    <t>3800073</t>
  </si>
  <si>
    <t>3800077</t>
  </si>
  <si>
    <t>3800084</t>
  </si>
  <si>
    <t>3800088</t>
  </si>
  <si>
    <t>3800091</t>
  </si>
  <si>
    <t>3800095</t>
  </si>
  <si>
    <t>3800139</t>
  </si>
  <si>
    <t>MASTERCARD INC    3.300% 03/26/27</t>
  </si>
  <si>
    <t>3800157</t>
  </si>
  <si>
    <t>3800164</t>
  </si>
  <si>
    <t>3800168</t>
  </si>
  <si>
    <t>3800175</t>
  </si>
  <si>
    <t>3800179</t>
  </si>
  <si>
    <t>3800182</t>
  </si>
  <si>
    <t>3800186</t>
  </si>
  <si>
    <t>3800193</t>
  </si>
  <si>
    <t>3800197</t>
  </si>
  <si>
    <t>WILLIAMS PRTNRS    3.750% 06/15/27</t>
  </si>
  <si>
    <t>3800248</t>
  </si>
  <si>
    <t>3800255</t>
  </si>
  <si>
    <t>3800259</t>
  </si>
  <si>
    <t>HOMESERVE PLC    3.340% 08/20/27</t>
  </si>
  <si>
    <t>3800266</t>
  </si>
  <si>
    <t>3800273</t>
  </si>
  <si>
    <t>3800277</t>
  </si>
  <si>
    <t>3800280</t>
  </si>
  <si>
    <t>SCDPT4</t>
  </si>
  <si>
    <t xml:space="preserve">Realized Gain (Loss) on Disposal </t>
  </si>
  <si>
    <t xml:space="preserve">Total Gain (Loss) on Disposal </t>
  </si>
  <si>
    <t>912828-VP-2</t>
  </si>
  <si>
    <t>645020-LD-8</t>
  </si>
  <si>
    <t>Maturity</t>
  </si>
  <si>
    <t>BAY AREA CALIF WTR SPPLY &amp; CON</t>
  </si>
  <si>
    <t>MD</t>
  </si>
  <si>
    <t>AMCOR FINANCE USA INC</t>
  </si>
  <si>
    <t>AMERICAN EXPRESS CREDIT ACCOUN</t>
  </si>
  <si>
    <t>02666Q-G7-2</t>
  </si>
  <si>
    <t>AVIS BUDGET RENTAL CAR FUNDING AVIS BUDG</t>
  </si>
  <si>
    <t>WR BERKLEY CORP</t>
  </si>
  <si>
    <t>14313F-AG-4</t>
  </si>
  <si>
    <t>CENTENE CORP Series 144A</t>
  </si>
  <si>
    <t>CHASE ISSUANCE TRUST CHAIT_18- CHAIT_18-</t>
  </si>
  <si>
    <t>20605P-AG-6</t>
  </si>
  <si>
    <t>CONCHO RESOURCES INC    4.375% 01/15/25</t>
  </si>
  <si>
    <t>268602-AA-7</t>
  </si>
  <si>
    <t>GOLDMAN SACHS GROUP INC/THE</t>
  </si>
  <si>
    <t>JIMMY JOHNS FUNDING LLC JIMMY_ JIMMY JOH</t>
  </si>
  <si>
    <t>549300H9ZCLGQEKXQY57</t>
  </si>
  <si>
    <t>KENTUCKY UTILITIES COMPANY</t>
  </si>
  <si>
    <t>KENTUCKY UTILITIES CO</t>
  </si>
  <si>
    <t>MEDTRONIC INC    3.500% 03/15/25</t>
  </si>
  <si>
    <t>693476-BL-6</t>
  </si>
  <si>
    <t>PLUM CREEK TIMBERLANDS</t>
  </si>
  <si>
    <t>745310-AB-8</t>
  </si>
  <si>
    <t>747262-AS-2</t>
  </si>
  <si>
    <t>82652J-AA-5</t>
  </si>
  <si>
    <t>82652J-AB-3</t>
  </si>
  <si>
    <t>89679H-AJ-4</t>
  </si>
  <si>
    <t>94946T-AC-0</t>
  </si>
  <si>
    <t>WELLCARE HEALTH</t>
  </si>
  <si>
    <t>AIR CANADA SER 2013-1 CLASS A  EETC</t>
  </si>
  <si>
    <t>UBS AG STAMFORD BRANCH</t>
  </si>
  <si>
    <t>715638-DE-9</t>
  </si>
  <si>
    <t>CAPITAL ONE BANK    2.280% 01/28/26</t>
  </si>
  <si>
    <t>36259K-AH-0</t>
  </si>
  <si>
    <t>Subtotal - Common Stock - Alien Insurer</t>
  </si>
  <si>
    <t>1600000</t>
  </si>
  <si>
    <t xml:space="preserve">Book/Adjusted Carrying Value </t>
  </si>
  <si>
    <t xml:space="preserve">Unrealized Valuation Increase/(Decrease) </t>
  </si>
  <si>
    <t xml:space="preserve">Interest: When Paid </t>
  </si>
  <si>
    <t xml:space="preserve">Stated Contractual Maturity Date </t>
  </si>
  <si>
    <t>0100003</t>
  </si>
  <si>
    <t>912828-2P-4</t>
  </si>
  <si>
    <t>0100007</t>
  </si>
  <si>
    <t>0100010</t>
  </si>
  <si>
    <t>0100014</t>
  </si>
  <si>
    <t>0100018</t>
  </si>
  <si>
    <t>0100021</t>
  </si>
  <si>
    <t>Subtotal - Bonds - U.S. Governments - Residential Mortgage-Backed Securities</t>
  </si>
  <si>
    <t>0499999</t>
  </si>
  <si>
    <t>BERMUDA BERMUDA (GOVERNMENT)</t>
  </si>
  <si>
    <t>1.F FE</t>
  </si>
  <si>
    <t>0800000</t>
  </si>
  <si>
    <t>Total - All Other Government Bonds</t>
  </si>
  <si>
    <t>MASSACHUSETTS ST MASSACHUSETTS ST</t>
  </si>
  <si>
    <t>70914P-ME-9</t>
  </si>
  <si>
    <t>692020-VW-7</t>
  </si>
  <si>
    <t>692020-VX-5</t>
  </si>
  <si>
    <t>692020-VY-3</t>
  </si>
  <si>
    <t>POWAY CALIF UNI SCH DIST MUNI BND GO</t>
  </si>
  <si>
    <t>Subtotal - Bonds - U.S. Political Subdivisions - Other Loan-Backed and Structured Securities</t>
  </si>
  <si>
    <t>2500001</t>
  </si>
  <si>
    <t>01026C-AC-5</t>
  </si>
  <si>
    <t>2500005</t>
  </si>
  <si>
    <t>20281P-LY-6</t>
  </si>
  <si>
    <t>2500012</t>
  </si>
  <si>
    <t>DUKE UNIVERSITY HLTH SYS</t>
  </si>
  <si>
    <t>IL</t>
  </si>
  <si>
    <t>485429-Y5-7</t>
  </si>
  <si>
    <t>546850-BV-9</t>
  </si>
  <si>
    <t>2500023</t>
  </si>
  <si>
    <t>PORT MORROW ORE</t>
  </si>
  <si>
    <t>2500030</t>
  </si>
  <si>
    <t>2500041</t>
  </si>
  <si>
    <t>WISCONSIN ST</t>
  </si>
  <si>
    <t>Total - U.S. Special Revenues Bonds</t>
  </si>
  <si>
    <t>AFLAC INC AFLAC INCORPORATED</t>
  </si>
  <si>
    <t>AFLAC INCORPORATED</t>
  </si>
  <si>
    <t>AIG GLOBAL FUNDING</t>
  </si>
  <si>
    <t>2.C FE</t>
  </si>
  <si>
    <t>ALLIANT ENERGY FINANCE LLC Series 144A</t>
  </si>
  <si>
    <t>Series 144A</t>
  </si>
  <si>
    <t>3</t>
  </si>
  <si>
    <t>5493006ORUSIL88JOE18</t>
  </si>
  <si>
    <t>ANHEUSER-BUSCH INBEV WORLDWIDE</t>
  </si>
  <si>
    <t>04317@-BJ-6</t>
  </si>
  <si>
    <t>3.A FE</t>
  </si>
  <si>
    <t>9DJT3UXIJIZJI4WXO774</t>
  </si>
  <si>
    <t>06051G-JK-6</t>
  </si>
  <si>
    <t>J5OIVXX3P24RJRW5CK77</t>
  </si>
  <si>
    <t>3200059</t>
  </si>
  <si>
    <t>BIOGEN INC</t>
  </si>
  <si>
    <t>549300LRIF3NWCU26A80</t>
  </si>
  <si>
    <t>BOARDWALK PIPELINES LP</t>
  </si>
  <si>
    <t>BROADCOM CORPORATION/BROADCOM BROADCOM C</t>
  </si>
  <si>
    <t>3200077</t>
  </si>
  <si>
    <t>CIGNA CORP</t>
  </si>
  <si>
    <t>3200088</t>
  </si>
  <si>
    <t>3200095</t>
  </si>
  <si>
    <t>549300EJG376EN5NQE29</t>
  </si>
  <si>
    <t>3200099</t>
  </si>
  <si>
    <t>14149Y-BH-0</t>
  </si>
  <si>
    <t>14913Q-2V-0</t>
  </si>
  <si>
    <t>CENTERPOINT ENERGY RESOURCES C</t>
  </si>
  <si>
    <t>166764-BX-7</t>
  </si>
  <si>
    <t>Z</t>
  </si>
  <si>
    <t>CISCO SYSTEMS INC</t>
  </si>
  <si>
    <t>17275R-AP-7</t>
  </si>
  <si>
    <t>CITIGROUP INC</t>
  </si>
  <si>
    <t>CITIBANK NA</t>
  </si>
  <si>
    <t>21036P-AL-2</t>
  </si>
  <si>
    <t>DAIMLER FINANCE NORTH AMERICA Series 144</t>
  </si>
  <si>
    <t>549300R22LSX6OHWEN64</t>
  </si>
  <si>
    <t>25470D-AE-9</t>
  </si>
  <si>
    <t>DOLLAR GENERAL CORP</t>
  </si>
  <si>
    <t>3200168</t>
  </si>
  <si>
    <t>549300LYE2HSVYJFJD24</t>
  </si>
  <si>
    <t>277432-AR-1</t>
  </si>
  <si>
    <t>3200179</t>
  </si>
  <si>
    <t>29278N-AP-8</t>
  </si>
  <si>
    <t>29364D-AU-4</t>
  </si>
  <si>
    <t>3200186</t>
  </si>
  <si>
    <t>3200193</t>
  </si>
  <si>
    <t>3200197</t>
  </si>
  <si>
    <t>FOOTBALL CLUB TERM NOTES 2020-</t>
  </si>
  <si>
    <t>FORD MOTOR CREDIT COMPANY LLC</t>
  </si>
  <si>
    <t>2TGYMUGI08PO8X8L6150</t>
  </si>
  <si>
    <t>37331N-AG-6</t>
  </si>
  <si>
    <t>GILEAD SCIENCES INC</t>
  </si>
  <si>
    <t>549300WTZWR07K8MNV44</t>
  </si>
  <si>
    <t>38937L-AC-5</t>
  </si>
  <si>
    <t>GUARDIAN LIFE GLOBAL FUNDING</t>
  </si>
  <si>
    <t>41242*-BA-9</t>
  </si>
  <si>
    <t>549300CZ8QS1GE53O776</t>
  </si>
  <si>
    <t>JRD HOLDINGS LLC</t>
  </si>
  <si>
    <t>3200259</t>
  </si>
  <si>
    <t>50077L-AS-5</t>
  </si>
  <si>
    <t>524660-AX-5</t>
  </si>
  <si>
    <t>548661-DX-2</t>
  </si>
  <si>
    <t>M&amp;T BANK CORPORATION M&amp;T BANK CORPORATIO</t>
  </si>
  <si>
    <t>3200277</t>
  </si>
  <si>
    <t>55336V-AA-8</t>
  </si>
  <si>
    <t>MARKEL CORP MARKEL CORPORATION</t>
  </si>
  <si>
    <t>3200284</t>
  </si>
  <si>
    <t>R6ZXK5P01NP6HXSY1S07</t>
  </si>
  <si>
    <t>3200288</t>
  </si>
  <si>
    <t>57629W-CQ-1</t>
  </si>
  <si>
    <t>MCDONALDS CORP MCDONALDS CORPORATION</t>
  </si>
  <si>
    <t>3200295</t>
  </si>
  <si>
    <t>3200299</t>
  </si>
  <si>
    <t>MICROSOFT CORP</t>
  </si>
  <si>
    <t>59833C-AB-8</t>
  </si>
  <si>
    <t>MORGAN STANLEY</t>
  </si>
  <si>
    <t>IGJSJL3JD5P30I6NJZ34</t>
  </si>
  <si>
    <t>62927#-AK-2</t>
  </si>
  <si>
    <t>62927@-AB-4</t>
  </si>
  <si>
    <t>2.A Z</t>
  </si>
  <si>
    <t>NEW JERSEY RSRCE CORP</t>
  </si>
  <si>
    <t>67103H-AE-7</t>
  </si>
  <si>
    <t>OMNICOM GRP INC.</t>
  </si>
  <si>
    <t>CFGNEKW0P8842LEUIA51</t>
  </si>
  <si>
    <t>PNC FINANCIAL SERVICES GROUP</t>
  </si>
  <si>
    <t>74151#-AM-0</t>
  </si>
  <si>
    <t>3200368</t>
  </si>
  <si>
    <t>749685-AS-2</t>
  </si>
  <si>
    <t>75524K-NH-3</t>
  </si>
  <si>
    <t>3200379</t>
  </si>
  <si>
    <t>549300LJXD867XMVE759</t>
  </si>
  <si>
    <t>3200386</t>
  </si>
  <si>
    <t>3200393</t>
  </si>
  <si>
    <t>3200397</t>
  </si>
  <si>
    <t>SOUTHEAST SUPPLY HEADER LLC</t>
  </si>
  <si>
    <t>SUTTER HEALTH</t>
  </si>
  <si>
    <t>ZI85ER3E6RXD4HPHW309</t>
  </si>
  <si>
    <t>3M CO</t>
  </si>
  <si>
    <t>6BYL5QZYBDK8S7L73M02</t>
  </si>
  <si>
    <t>MYF1DAS6G5WY7PRWCU78</t>
  </si>
  <si>
    <t>UNITEDHEALTH GROUP INC</t>
  </si>
  <si>
    <t>91324P-CN-0</t>
  </si>
  <si>
    <t>91324P-DJ-8</t>
  </si>
  <si>
    <t>5493002789CX3L0CJP65</t>
  </si>
  <si>
    <t>3200459</t>
  </si>
  <si>
    <t>970648-AF-8</t>
  </si>
  <si>
    <t>3200477</t>
  </si>
  <si>
    <t>549300OVC7PK14LQ8D87</t>
  </si>
  <si>
    <t>98956P-AF-9</t>
  </si>
  <si>
    <t>2P2YLDVPES3BXQ1FRB91</t>
  </si>
  <si>
    <t>549300O4LZFLCX53XZ54</t>
  </si>
  <si>
    <t>3200484</t>
  </si>
  <si>
    <t>2.C Z</t>
  </si>
  <si>
    <t>3200488</t>
  </si>
  <si>
    <t>CCL INDS INC Series 144A</t>
  </si>
  <si>
    <t>CANADIAN IMPERIAL BANK OF COMM CANADIAN</t>
  </si>
  <si>
    <t>METHANEX CORP</t>
  </si>
  <si>
    <t>3200495</t>
  </si>
  <si>
    <t>VIDEOTRON LTEE VIDEOTRON LTEE</t>
  </si>
  <si>
    <t>3200499</t>
  </si>
  <si>
    <t>BNP PARIBAS SA</t>
  </si>
  <si>
    <t>29359U-AA-7</t>
  </si>
  <si>
    <t>ENSTAR GROUP LTD</t>
  </si>
  <si>
    <t>213800EKBJTGNMXEDF11</t>
  </si>
  <si>
    <t>44962L-AC-1</t>
  </si>
  <si>
    <t>MARVELL TECHNOLOGY GROUP LTD.</t>
  </si>
  <si>
    <t>7846EL-AC-1</t>
  </si>
  <si>
    <t>83368R-AX-0</t>
  </si>
  <si>
    <t>U4LOSYZ7YG4W3S5F2G91</t>
  </si>
  <si>
    <t>3200568</t>
  </si>
  <si>
    <t>86562M-CA-6</t>
  </si>
  <si>
    <t>3200575</t>
  </si>
  <si>
    <t>3200579</t>
  </si>
  <si>
    <t>NORDIC AVIATION CAPITAL</t>
  </si>
  <si>
    <t>3200586</t>
  </si>
  <si>
    <t>OMEGA LEASING NO 9 LTD</t>
  </si>
  <si>
    <t>RRPF ENGINE LEASING LIMITED</t>
  </si>
  <si>
    <t>G8781@-AB-5</t>
  </si>
  <si>
    <t>G8781@-AC-3</t>
  </si>
  <si>
    <t>3200593</t>
  </si>
  <si>
    <t>3399999</t>
  </si>
  <si>
    <t>ALLY AUTO RECEIVABLES TRUST AL</t>
  </si>
  <si>
    <t>CNH EQUIPMENT TRUST CNH_19-A</t>
  </si>
  <si>
    <t>CARMAX AUTO OWNER TRUST CARMX_ CARMAX AU</t>
  </si>
  <si>
    <t>CHESAPEAKE FUNDING II LLC CFII Series 14</t>
  </si>
  <si>
    <t>3500079</t>
  </si>
  <si>
    <t>361886-CP-7</t>
  </si>
  <si>
    <t>362569-AE-5</t>
  </si>
  <si>
    <t>3500097</t>
  </si>
  <si>
    <t>40438F-AE-4</t>
  </si>
  <si>
    <t>40439H-AA-7</t>
  </si>
  <si>
    <t>40439H-AB-5</t>
  </si>
  <si>
    <t>HYUNDAI AUTO RECEIVABLES TRUST HYUNDAI A</t>
  </si>
  <si>
    <t>HYUNDAI AUTO RECEIVABLES TRUST</t>
  </si>
  <si>
    <t>NP SPE II LLC NPRL_17-1A Series 144A</t>
  </si>
  <si>
    <t>63938P-BK-4</t>
  </si>
  <si>
    <t>SONIC CAPITAL LLC SONIC_20-1A Series 144</t>
  </si>
  <si>
    <t>87342R-AD-6</t>
  </si>
  <si>
    <t>3500188</t>
  </si>
  <si>
    <t>92348T-AD-6</t>
  </si>
  <si>
    <t>98162X-AE-5</t>
  </si>
  <si>
    <t>3500199</t>
  </si>
  <si>
    <t>AIR CANADA 2015-1 CLASS A PASS</t>
  </si>
  <si>
    <t>03768M-AB-3</t>
  </si>
  <si>
    <t>7</t>
  </si>
  <si>
    <t>APIDOS CLO APID_20-34A Series 144A</t>
  </si>
  <si>
    <t>12481Q-AC-9</t>
  </si>
  <si>
    <t>GALAXY CLO LTD GALXY_15-20A Series 144A</t>
  </si>
  <si>
    <t>LCM LTD PARTNERSHIP LCM_25A Series 144A</t>
  </si>
  <si>
    <t>MADISON PARK FUNDING LTD Series 144A</t>
  </si>
  <si>
    <t>OAK HILL CREDIT PARTNERS OAKC_</t>
  </si>
  <si>
    <t>92332T-AD-4</t>
  </si>
  <si>
    <t>92917C-AG-7</t>
  </si>
  <si>
    <t>Total - Parent, Subsidiaries and Affiliates Bonds</t>
  </si>
  <si>
    <t xml:space="preserve">Rate Per Share Used to Obtain Fair Value </t>
  </si>
  <si>
    <t>9199999</t>
  </si>
  <si>
    <t>9500000</t>
  </si>
  <si>
    <t xml:space="preserve">Name of Vendor </t>
  </si>
  <si>
    <t xml:space="preserve">Paid for Accrued Interest and Dividends </t>
  </si>
  <si>
    <t>1000000</t>
  </si>
  <si>
    <t>Various</t>
  </si>
  <si>
    <t>Suntrust Banks Inc</t>
  </si>
  <si>
    <t>3800099</t>
  </si>
  <si>
    <t>CANTOR FITZGERALD</t>
  </si>
  <si>
    <t>JABIL CIRCUIT INC    3.950% 01/12/28</t>
  </si>
  <si>
    <t>XYLEM INC    1.950% 01/30/28</t>
  </si>
  <si>
    <t>Subtotal - Bonds - Parent, Subsidiaries and Affiliates</t>
  </si>
  <si>
    <t>Subtotal - Bonds - Unaffiliated Bank Loans</t>
  </si>
  <si>
    <t>8700000</t>
  </si>
  <si>
    <t>Subtotal - Preferred Stocks - Parent, Subsidiaries and Affiliates Redeemable Preferred</t>
  </si>
  <si>
    <t>8999999</t>
  </si>
  <si>
    <t>Total - Preferred and Common Stocks</t>
  </si>
  <si>
    <t>NEW HAVEN CONN A    5.000% 11/01/20</t>
  </si>
  <si>
    <t>WASHINGTON CNTY ORE SCH DIST N WASHINGTO</t>
  </si>
  <si>
    <t>KENTUCKY ASSETLIABILITY COMMI KENTUCKY A</t>
  </si>
  <si>
    <t>ACTIVISION BLIZZARD INC</t>
  </si>
  <si>
    <t>AIRGAS INC    3.650% 07/15/24</t>
  </si>
  <si>
    <t>549300ZMT7FVT8R77U18</t>
  </si>
  <si>
    <t>AMERICAN EXPRESS CREDIT CORPOR AMERICAN</t>
  </si>
  <si>
    <t>038779-AA-2</t>
  </si>
  <si>
    <t>ARBYS_15-1A</t>
  </si>
  <si>
    <t>05377R-BY-9</t>
  </si>
  <si>
    <t>CLIF_14-1A Series 144A</t>
  </si>
  <si>
    <t>12563L-AE-7</t>
  </si>
  <si>
    <t>CLI FUNDING VI LLC CLIF_17-1</t>
  </si>
  <si>
    <t>COLUMBIA PIPELINE GROUP INC SERIES 144A</t>
  </si>
  <si>
    <t>Call      103.2810</t>
  </si>
  <si>
    <t>254683-CF-0</t>
  </si>
  <si>
    <t>ELM TRUST MDCP_16-1A</t>
  </si>
  <si>
    <t>34959J-AF-5</t>
  </si>
  <si>
    <t>37956A-AA-1</t>
  </si>
  <si>
    <t>JETBLUE 2019-1 CLASS AA PASS T</t>
  </si>
  <si>
    <t>55336V-AW-0</t>
  </si>
  <si>
    <t>MPLX LP Series 144A    6.250% 10/15/22</t>
  </si>
  <si>
    <t>NBCUNIVERSAL MEDIA LLC</t>
  </si>
  <si>
    <t>693506-BD-8</t>
  </si>
  <si>
    <t>PPG INDUSTRIES INC    3.600% 11/15/20</t>
  </si>
  <si>
    <t>ROPER TECHNOLOGIES INC</t>
  </si>
  <si>
    <t>TECH DATA CORPORATION</t>
  </si>
  <si>
    <t>98978V-AJ-2</t>
  </si>
  <si>
    <t>3100000</t>
  </si>
  <si>
    <t>ALCOA INC</t>
  </si>
  <si>
    <t>BAXTER INTERNATIONAL INC. Series 144A</t>
  </si>
  <si>
    <t xml:space="preserve">NAIC Valuation Method </t>
  </si>
  <si>
    <t xml:space="preserve">Stock of Such Company Owned by Insurer on Statement Date: Number of Shares </t>
  </si>
  <si>
    <t>Subtotal - Preferred Stock - Other Affiliates</t>
  </si>
  <si>
    <t>Subtotal - Common Stock - U.S. P&amp;C Insurer</t>
  </si>
  <si>
    <t>Statement</t>
  </si>
  <si>
    <t>912828-M5-6</t>
  </si>
  <si>
    <t>912828-XW-5</t>
  </si>
  <si>
    <t>0200000</t>
  </si>
  <si>
    <t>Subtotal - Bonds - U.S. Governments - Commercial Mortgage-Backed Securities</t>
  </si>
  <si>
    <t>Total - U.S. Government Bonds</t>
  </si>
  <si>
    <t>C</t>
  </si>
  <si>
    <t>BERMUDA</t>
  </si>
  <si>
    <t>1100001</t>
  </si>
  <si>
    <t>419792-KE-5</t>
  </si>
  <si>
    <t>1.E FE</t>
  </si>
  <si>
    <t>692020-VV-9</t>
  </si>
  <si>
    <t>050589-QY-9</t>
  </si>
  <si>
    <t>2500009</t>
  </si>
  <si>
    <t>2500016</t>
  </si>
  <si>
    <t>546475-TW-4</t>
  </si>
  <si>
    <t>LOUISIANA ST GAS &amp; FUELS TAX R</t>
  </si>
  <si>
    <t>NEW JERSEY ST TRANSN TR FD AUT</t>
  </si>
  <si>
    <t>2500027</t>
  </si>
  <si>
    <t>OR</t>
  </si>
  <si>
    <t>2500034</t>
  </si>
  <si>
    <t>2500038</t>
  </si>
  <si>
    <t>875301-HP-1</t>
  </si>
  <si>
    <t>2500045</t>
  </si>
  <si>
    <t>2599999</t>
  </si>
  <si>
    <t>2.B FE</t>
  </si>
  <si>
    <t>001055-AM-4</t>
  </si>
  <si>
    <t>FR5LCKFTG8054YNNRU85</t>
  </si>
  <si>
    <t>00287Y-BV-0</t>
  </si>
  <si>
    <t>008117-AP-8</t>
  </si>
  <si>
    <t>AMPHENOL CORP AMPHENOL CORP</t>
  </si>
  <si>
    <t>04685A-2N-0</t>
  </si>
  <si>
    <t>05329W-AN-2</t>
  </si>
  <si>
    <t>BB&amp;T CORP</t>
  </si>
  <si>
    <t>073730-AG-8</t>
  </si>
  <si>
    <t>EWRDABCN7XBHM37LIA98</t>
  </si>
  <si>
    <t>BUCKEYE PARTNERS BUCKEYE PARTNERS LP</t>
  </si>
  <si>
    <t>120568-BA-7</t>
  </si>
  <si>
    <t>BUNGE LTD FINANCE CORP</t>
  </si>
  <si>
    <t>CSLB HOLDINGS INC CSLB HOLDINGS INC</t>
  </si>
  <si>
    <t>CHEVRON USA INC. CHEVRON USA INC</t>
  </si>
  <si>
    <t>LJOF0JWZSCIUPEC3LQ45</t>
  </si>
  <si>
    <t>16829@-AF-0</t>
  </si>
  <si>
    <t>6SHGI4ZSSLCXXQSBB395</t>
  </si>
  <si>
    <t>18469P-B*-0</t>
  </si>
  <si>
    <t>70WY0ID1N53Q4254VH70</t>
  </si>
  <si>
    <t>212015-AN-1</t>
  </si>
  <si>
    <t>L2Z2MO2EQURH3BREWI15</t>
  </si>
  <si>
    <t>DOLLAR TREE INC</t>
  </si>
  <si>
    <t>EATON CORPORATION</t>
  </si>
  <si>
    <t>29736R-AN-0</t>
  </si>
  <si>
    <t>FIFTH THIRD BANK (OHIO)</t>
  </si>
  <si>
    <t>337738-AT-5</t>
  </si>
  <si>
    <t>549300MU9YQJYHDQEF63</t>
  </si>
  <si>
    <t>5493007Q8VD7Q3ZYZS59</t>
  </si>
  <si>
    <t>HUBBELL INC HUBBELL INCORPORATED</t>
  </si>
  <si>
    <t>INGREDION INC</t>
  </si>
  <si>
    <t>INTEL CORPORATION</t>
  </si>
  <si>
    <t>458140-BQ-2</t>
  </si>
  <si>
    <t>549300W9UGH9ZPLNPF79</t>
  </si>
  <si>
    <t>48203R-AJ-3</t>
  </si>
  <si>
    <t>49338L-AB-9</t>
  </si>
  <si>
    <t>LOWES COMPANIES INC</t>
  </si>
  <si>
    <t>MARSH &amp; MCLENNAN CO INC</t>
  </si>
  <si>
    <t>D56MRZY2INAN94ZONZ37</t>
  </si>
  <si>
    <t>MOLSON COORS BREWING CO</t>
  </si>
  <si>
    <t>NEW YORK LIFE GLOBAL FUNDING</t>
  </si>
  <si>
    <t>682680-AX-1</t>
  </si>
  <si>
    <t>69353R-EQ-7</t>
  </si>
  <si>
    <t>529900K900DW6SUBM174</t>
  </si>
  <si>
    <t>PENSKE TRUCK LEASING CO LP Series 144A</t>
  </si>
  <si>
    <t>PINNACLE WEST CAP CORP</t>
  </si>
  <si>
    <t>PEOPLES NATURAL GAS COMPANY LL</t>
  </si>
  <si>
    <t>PROCTER &amp; GAMBLE COMPANY</t>
  </si>
  <si>
    <t>549300KJYBG7C6WJYZ11</t>
  </si>
  <si>
    <t>854502-AK-7</t>
  </si>
  <si>
    <t>87236Y-AH-1</t>
  </si>
  <si>
    <t>WDJNR2L6D8RWOEB8T652</t>
  </si>
  <si>
    <t>883556-BN-1</t>
  </si>
  <si>
    <t>THERMO FISHER SCIENTIFIC INC THERMO FISH</t>
  </si>
  <si>
    <t>TIMKEN CO</t>
  </si>
  <si>
    <t>B0I35MLPFXZSE70ASS73</t>
  </si>
  <si>
    <t>904764-BG-1</t>
  </si>
  <si>
    <t>549300JEB576INN13W07</t>
  </si>
  <si>
    <t>94973V-AX-5</t>
  </si>
  <si>
    <t>WABTEC CORP WABTEC CORPORATION</t>
  </si>
  <si>
    <t>978097-AD-5</t>
  </si>
  <si>
    <t>ZIMMER HOLDINGS INC</t>
  </si>
  <si>
    <t>ALGOMA CENTRAL CORP ALGOMA CENTRAL CORPO</t>
  </si>
  <si>
    <t>CCL INDS INC</t>
  </si>
  <si>
    <t>59151K-AK-4</t>
  </si>
  <si>
    <t>549300TSJHRXT9QXRD13</t>
  </si>
  <si>
    <t>59151K-AM-0</t>
  </si>
  <si>
    <t>COOPERATIEVE CENTRALE RAIFFEIS RABOBANK</t>
  </si>
  <si>
    <t>COOPERATIEVE CENTRALE RAIFFEIS</t>
  </si>
  <si>
    <t>ING GROEP NV Series 144A</t>
  </si>
  <si>
    <t>75625Q-AD-1</t>
  </si>
  <si>
    <t>529900BD50TRWEG1SF63</t>
  </si>
  <si>
    <t>SHIRE ACQUISITIONS INVESTMENTS SHIRE ACQ</t>
  </si>
  <si>
    <t>83368R-AV-4</t>
  </si>
  <si>
    <t>STANDARD CHARTERED PLC Series 144A</t>
  </si>
  <si>
    <t>HOFER FINANCIAL SERVICES GMBH</t>
  </si>
  <si>
    <t>ICON INVESTMENTS FIVE UNLIMITE</t>
  </si>
  <si>
    <t>NORDIC AVIATION CAPITAL A/S NORDIC AVIAT</t>
  </si>
  <si>
    <t>G7332#-AF-0</t>
  </si>
  <si>
    <t>2,4</t>
  </si>
  <si>
    <t>BCC FUNDING CORP BCCFC_20-1 Series 144A</t>
  </si>
  <si>
    <t>05606X-AA-2</t>
  </si>
  <si>
    <t>CARMAX AUTO OWNER TRUST CARMX_ CARMX_18-</t>
  </si>
  <si>
    <t>165183-CA-0</t>
  </si>
  <si>
    <t>DELL EQUIPMENT FINANCE TRUST D</t>
  </si>
  <si>
    <t>26209X-AC-5</t>
  </si>
  <si>
    <t>DRUG ROYALTY III LP 1 DRUGC_18</t>
  </si>
  <si>
    <t>361886-BN-3</t>
  </si>
  <si>
    <t>GFORT_18-2</t>
  </si>
  <si>
    <t>GM FINANCIAL SECURITIZED TERM Series 144</t>
  </si>
  <si>
    <t>39154T-BF-4</t>
  </si>
  <si>
    <t>40438D-AD-1</t>
  </si>
  <si>
    <t>43285H-AA-6</t>
  </si>
  <si>
    <t>MVW OWNER TRUST MVWOT_17-1A</t>
  </si>
  <si>
    <t>NAVISTAR FINANCIAL DEALER NOTE Series 14</t>
  </si>
  <si>
    <t>68504U-AB-7</t>
  </si>
  <si>
    <t>SIERRA RECEIVABLES FUNDING COM SIERRA RE</t>
  </si>
  <si>
    <t>82653D-AB-5</t>
  </si>
  <si>
    <t>SONIC CAPITAL LLC SONIC_20-1A</t>
  </si>
  <si>
    <t>84858W-AA-4</t>
  </si>
  <si>
    <t>WORLD OMNI AUTOMOBILE LEASE SE WORLD OMN</t>
  </si>
  <si>
    <t>98162Y-AF-0</t>
  </si>
  <si>
    <t>576339-CH-6</t>
  </si>
  <si>
    <t>CAL FUNDING IV LTD CAI_20-1A Series 144A</t>
  </si>
  <si>
    <t>GOLDENTREE LOAN OPPORTUNITIES</t>
  </si>
  <si>
    <t>LCM LTD PARTNERSHIP LCM_25A</t>
  </si>
  <si>
    <t>OCTAGON INVESTMENT PARTNERS XX</t>
  </si>
  <si>
    <t>88315L-AG-3</t>
  </si>
  <si>
    <t>Subtotal - Bonds - Industrial and Miscellaneous (Unaffiliated) - Other Loan-Backed and Structured Securities</t>
  </si>
  <si>
    <t>5200000</t>
  </si>
  <si>
    <t>5499999</t>
  </si>
  <si>
    <t>5800000</t>
  </si>
  <si>
    <t>8399999</t>
  </si>
  <si>
    <t xml:space="preserve">Total Change in Book/Adjusted Carrying Value (13 - 14) </t>
  </si>
  <si>
    <t>Subtotal - Mutual Funds</t>
  </si>
  <si>
    <t>Total Common Stocks</t>
  </si>
  <si>
    <t>CITIGROUP GLOBAL MARKETS</t>
  </si>
  <si>
    <t>1700001</t>
  </si>
  <si>
    <t>3100004</t>
  </si>
  <si>
    <t>3100008</t>
  </si>
  <si>
    <t>3100011</t>
  </si>
  <si>
    <t>3100015</t>
  </si>
  <si>
    <t>3100022</t>
  </si>
  <si>
    <t>3100026</t>
  </si>
  <si>
    <t>3800001</t>
  </si>
  <si>
    <t>ABBVIE INC    2.950% 11/21/26</t>
  </si>
  <si>
    <t>CIGNA CORP    3.000% 07/15/23</t>
  </si>
  <si>
    <t>CENTENE CORP    4.250% 12/15/27</t>
  </si>
  <si>
    <t>3800103</t>
  </si>
  <si>
    <t>3800110</t>
  </si>
  <si>
    <t>SEAPORT GROUP</t>
  </si>
  <si>
    <t>MCKINSEY &amp; CO    2.520% 06/11/25</t>
  </si>
  <si>
    <t>STONECASTLE SECURITIES LLC</t>
  </si>
  <si>
    <t>U.S. Bancorp Piper Jaffray</t>
  </si>
  <si>
    <t>3800201</t>
  </si>
  <si>
    <t>Total - Bonds - Part 5</t>
  </si>
  <si>
    <t>0500002</t>
  </si>
  <si>
    <t>938429-M6-1</t>
  </si>
  <si>
    <t>00287Y-BU-2</t>
  </si>
  <si>
    <t>ARBYS FUNDING LLC ARBYS_15-1A</t>
  </si>
  <si>
    <t>11135F-AD-3</t>
  </si>
  <si>
    <t>11135F-AE-1</t>
  </si>
  <si>
    <t>COMERICA BANK    2.500% 06/02/20</t>
  </si>
  <si>
    <t>INTERSTATE POWER AND LIGHT CO</t>
  </si>
  <si>
    <t>46623E-KG-3</t>
  </si>
  <si>
    <t>JETBLUE 2019-1 CLASS AA PASS T JETBLUE 2</t>
  </si>
  <si>
    <t>JIMMY JOHNS FUNDING LLC JIMMY_</t>
  </si>
  <si>
    <t>KENTUCKY UTILITIES COMPANY KENTUCKY UTIL</t>
  </si>
  <si>
    <t>63946B-AE-0</t>
  </si>
  <si>
    <t>549300M6NOJJ5ZNHU297</t>
  </si>
  <si>
    <t>69353R-EP-9</t>
  </si>
  <si>
    <t>74256L-AS-8</t>
  </si>
  <si>
    <t>SYBSJ96YIDMIUY7WDR33</t>
  </si>
  <si>
    <t>UNITED AIRLINES 2016-2 CLASS A</t>
  </si>
  <si>
    <t>UNITED AIRLINES 2015-1 CLASS A UNITED AI</t>
  </si>
  <si>
    <t>XCEL ENERGY INC    2.600% 03/15/22</t>
  </si>
  <si>
    <t>XCEL ENERGY INC</t>
  </si>
  <si>
    <t>BG ENERGY CAPITAL PLC</t>
  </si>
  <si>
    <t>12805P-AA-4</t>
  </si>
  <si>
    <t xml:space="preserve">Total Change in Book/Adjusted Carrying Value (12 + 13 - 14) </t>
  </si>
  <si>
    <t>Call      101.2500</t>
  </si>
  <si>
    <t>120568-BB-5</t>
  </si>
  <si>
    <t>14042T-CT-2</t>
  </si>
  <si>
    <t>15135B-AL-5</t>
  </si>
  <si>
    <t xml:space="preserve">Nonadmitted Amount </t>
  </si>
  <si>
    <t xml:space="preserve">Actual Cost </t>
  </si>
  <si>
    <t xml:space="preserve">Call Date </t>
  </si>
  <si>
    <t>085209-AB-0</t>
  </si>
  <si>
    <t>549300FP5PUZXX9FVJ40</t>
  </si>
  <si>
    <t>549300APVP4R32PI3Y06</t>
  </si>
  <si>
    <t>0999999</t>
  </si>
  <si>
    <t>HAWAII ST</t>
  </si>
  <si>
    <t>1100005</t>
  </si>
  <si>
    <t>605581-NG-8</t>
  </si>
  <si>
    <t>1.D FE</t>
  </si>
  <si>
    <t>1199999</t>
  </si>
  <si>
    <t>Subtotal - Bonds - U.S. States, Territories and Possessions - Residential Mortgage-Backed Securities</t>
  </si>
  <si>
    <t>1799999</t>
  </si>
  <si>
    <t>1800002</t>
  </si>
  <si>
    <t>NY</t>
  </si>
  <si>
    <t>1800006</t>
  </si>
  <si>
    <t>G</t>
  </si>
  <si>
    <t>050589-RD-4</t>
  </si>
  <si>
    <t>MUNI BND REV</t>
  </si>
  <si>
    <t>3200001</t>
  </si>
  <si>
    <t>3200005</t>
  </si>
  <si>
    <t>00287Y-AQ-2</t>
  </si>
  <si>
    <t>00751Y-AF-3</t>
  </si>
  <si>
    <t>3200012</t>
  </si>
  <si>
    <t>AMERICAN EXPRESS COMPANY AMERICAN EXPRES</t>
  </si>
  <si>
    <t>AMERICAN EXPRESS COMPANY</t>
  </si>
  <si>
    <t>B6Q2VFHD1797Q7NZ3E43</t>
  </si>
  <si>
    <t>3200023</t>
  </si>
  <si>
    <t>3200030</t>
  </si>
  <si>
    <t>ANTERO MIDSTREAM LLC</t>
  </si>
  <si>
    <t>3200041</t>
  </si>
  <si>
    <t>549300WV6GIDOZJTV909</t>
  </si>
  <si>
    <t>124857-AR-4</t>
  </si>
  <si>
    <t>CAPITAL ONE NA/MCLEAN VA CAPITAL ONE NA</t>
  </si>
  <si>
    <t>3200103</t>
  </si>
  <si>
    <t>3200107</t>
  </si>
  <si>
    <t>3200110</t>
  </si>
  <si>
    <t>2JADVB0458J06WCD4N56</t>
  </si>
  <si>
    <t>3200114</t>
  </si>
  <si>
    <t>1.G Z</t>
  </si>
  <si>
    <t>3200121</t>
  </si>
  <si>
    <t>17401Q-AE-1</t>
  </si>
  <si>
    <t>3200132</t>
  </si>
  <si>
    <t>CONAGRA FOODS INC</t>
  </si>
  <si>
    <t>24422E-UE-7</t>
  </si>
  <si>
    <t>DELL INTERNATIONAL LLC/EMC COR</t>
  </si>
  <si>
    <t>549300PMSTQITB1WHR43</t>
  </si>
  <si>
    <t>EAST OHIO GAS CO Series 144A</t>
  </si>
  <si>
    <t>BC95Y6MXLT75BGO7UM71</t>
  </si>
  <si>
    <t>ECOLAB INC</t>
  </si>
  <si>
    <t>EMERSON ELECTRIC CO</t>
  </si>
  <si>
    <t>THRNG6BD57P9QWTQLG42</t>
  </si>
  <si>
    <t>34502*-AA-0</t>
  </si>
  <si>
    <t>3200201</t>
  </si>
  <si>
    <t>36257@-AA-0</t>
  </si>
  <si>
    <t>GSW ARENA HOLDINGS LLC</t>
  </si>
  <si>
    <t>3200205</t>
  </si>
  <si>
    <t>GENERAL MILLS INC</t>
  </si>
  <si>
    <t>3200212</t>
  </si>
  <si>
    <t>40139L-AC-7</t>
  </si>
  <si>
    <t>3200223</t>
  </si>
  <si>
    <t>3200230</t>
  </si>
  <si>
    <t>HARMAN INTL IND, INC</t>
  </si>
  <si>
    <t>HEWLETT PACKARD ENTERPRISE CO</t>
  </si>
  <si>
    <t>INTEL CORP</t>
  </si>
  <si>
    <t>45866F-AD-6</t>
  </si>
  <si>
    <t>INTERNATIONAL BUSINESS MACHINE INTERNATI</t>
  </si>
  <si>
    <t>46647P-BF-2</t>
  </si>
  <si>
    <t>46647P-BT-2</t>
  </si>
  <si>
    <t>549300GZDSG25XUV0Y08</t>
  </si>
  <si>
    <t>KEY BANK USA NA</t>
  </si>
  <si>
    <t>KEYSPAN GAS EAST CORP Series 144A</t>
  </si>
  <si>
    <t>KEYSPAN GAS EAST CORP</t>
  </si>
  <si>
    <t>50540R-AT-9</t>
  </si>
  <si>
    <t>LINCOLN NATIONAL CORP</t>
  </si>
  <si>
    <t>Seaport Global Securities</t>
  </si>
  <si>
    <t>570535-AK-0</t>
  </si>
  <si>
    <t>571748-BA-9</t>
  </si>
  <si>
    <t>MASTERCARD INC</t>
  </si>
  <si>
    <t>3200303</t>
  </si>
  <si>
    <t>60871R-AG-5</t>
  </si>
  <si>
    <t>3200310</t>
  </si>
  <si>
    <t>3200314</t>
  </si>
  <si>
    <t>NATIONAL BASKETBALL ASSOCIATIO</t>
  </si>
  <si>
    <t>3200321</t>
  </si>
  <si>
    <t>64952W-DL-4</t>
  </si>
  <si>
    <t>3200332</t>
  </si>
  <si>
    <t>NUCOR CORP NUCOR CORPORATION</t>
  </si>
  <si>
    <t>NUTRITION &amp; BIOSCIENCES INC Series 144A</t>
  </si>
  <si>
    <t>73019#-AC-6</t>
  </si>
  <si>
    <t>744573-AN-6</t>
  </si>
  <si>
    <t>RELIANCE STANDARD LIFE GLOBAL Series 144</t>
  </si>
  <si>
    <t>ZXJ6Y2OSPZXIVGRILD15</t>
  </si>
  <si>
    <t>4YV9Y5M8S0BRK1RP0397</t>
  </si>
  <si>
    <t>SIRIUS XM RADIO INC Series 144A</t>
  </si>
  <si>
    <t>3200401</t>
  </si>
  <si>
    <t>2.B</t>
  </si>
  <si>
    <t>3200405</t>
  </si>
  <si>
    <t>STARBUCKS CORP</t>
  </si>
  <si>
    <t>STARBUCKS CORPORATION</t>
  </si>
  <si>
    <t>5493002F0SC4JTBU5137</t>
  </si>
  <si>
    <t>3200412</t>
  </si>
  <si>
    <t>STRYKER CORPORATION</t>
  </si>
  <si>
    <t>SUNTRUST BANKS INC</t>
  </si>
  <si>
    <t>TD AMERITRADE HLDG CORP TD AMERITRADE HO</t>
  </si>
  <si>
    <t>3200423</t>
  </si>
  <si>
    <t>3200430</t>
  </si>
  <si>
    <t>91324P-BZ-4</t>
  </si>
  <si>
    <t>PFIZER UPJOHN HONG KONG LIMITE Series 14</t>
  </si>
  <si>
    <t>91913Y-AU-4</t>
  </si>
  <si>
    <t>549300JZ4OKEHW3DPJ59</t>
  </si>
  <si>
    <t>ANTHEM INC</t>
  </si>
  <si>
    <t>WELLS FARGO BANK NA</t>
  </si>
  <si>
    <t>95000U-2H-5</t>
  </si>
  <si>
    <t>WILLIS NORTH AMERICA INC</t>
  </si>
  <si>
    <t>549300FGW43XR75F1O70</t>
  </si>
  <si>
    <t>97786#-AJ-1</t>
  </si>
  <si>
    <t>TRITON CONTAINER INTERNATIONAL</t>
  </si>
  <si>
    <t>ALGOMA CENTRAL CORPORATION</t>
  </si>
  <si>
    <t>064159-QE-9</t>
  </si>
  <si>
    <t>VIDEOTRON LTEE</t>
  </si>
  <si>
    <t>3200503</t>
  </si>
  <si>
    <t>01609W-AS-1</t>
  </si>
  <si>
    <t>95980020140005491929</t>
  </si>
  <si>
    <t>3200510</t>
  </si>
  <si>
    <t>549300CRVT18MXX0AG93</t>
  </si>
  <si>
    <t>3200514</t>
  </si>
  <si>
    <t>067316-AE-9</t>
  </si>
  <si>
    <t>3200521</t>
  </si>
  <si>
    <t>184494-A*-3</t>
  </si>
  <si>
    <t>DEUTSCHE TELEKOM INTERNATIONAL</t>
  </si>
  <si>
    <t>EDP FINANCE BV Series 144A</t>
  </si>
  <si>
    <t>448414-AE-2</t>
  </si>
  <si>
    <t>606822-BS-2</t>
  </si>
  <si>
    <t>SUMITOMO MITSUI FIN GRP INC SUMITOMO MIT</t>
  </si>
  <si>
    <t>TAKEDA PHARMACEUTICAL CO LTD</t>
  </si>
  <si>
    <t>3500003</t>
  </si>
  <si>
    <t>3500007</t>
  </si>
  <si>
    <t>05377R-CV-4</t>
  </si>
  <si>
    <t>3500010</t>
  </si>
  <si>
    <t>3500014</t>
  </si>
  <si>
    <t>3500018</t>
  </si>
  <si>
    <t>3500021</t>
  </si>
  <si>
    <t>12509K-AC-0</t>
  </si>
  <si>
    <t>CCG RECEIVABLES TRUST CCG_18-2 Series 14</t>
  </si>
  <si>
    <t>CCG RECEIVABLES TRUST CCG_19-2</t>
  </si>
  <si>
    <t>3500025</t>
  </si>
  <si>
    <t>CLI FUNDING VI LLC CLIF_20-3A</t>
  </si>
  <si>
    <t>3500032</t>
  </si>
  <si>
    <t>3500043</t>
  </si>
  <si>
    <t>3500050</t>
  </si>
  <si>
    <t>165183-CL-6</t>
  </si>
  <si>
    <t>17305E-GL-3</t>
  </si>
  <si>
    <t>233046-AE-1</t>
  </si>
  <si>
    <t>26209X-AA-9</t>
  </si>
  <si>
    <t>DRIVEN BRANDS FUNDING LLC HONK Series 14</t>
  </si>
  <si>
    <t>34532J-AC-8</t>
  </si>
  <si>
    <t>36258N-AF-9</t>
  </si>
  <si>
    <t>3500101</t>
  </si>
  <si>
    <t>GALC_18-1</t>
  </si>
  <si>
    <t>3500105</t>
  </si>
  <si>
    <t>3500109</t>
  </si>
  <si>
    <t>HPEFS EQUIPMENT TRUST HPEFS_20 Series 14</t>
  </si>
  <si>
    <t>3500112</t>
  </si>
  <si>
    <t>3500116</t>
  </si>
  <si>
    <t>3500123</t>
  </si>
  <si>
    <t>$</t>
  </si>
  <si>
    <t>MVW OWNER TRUST MVWOT_15-1A Series 144A</t>
  </si>
  <si>
    <t>MVW OWNER TRUST MVWOT_16-1A</t>
  </si>
  <si>
    <t>3500130</t>
  </si>
  <si>
    <t>3500134</t>
  </si>
  <si>
    <t>MVW OWNER TRUST MVWOT_19-2A Series 144A</t>
  </si>
  <si>
    <t>3500141</t>
  </si>
  <si>
    <t>3500152</t>
  </si>
  <si>
    <t>OXFORD FINANCE FUNDING TRUST O Series 14</t>
  </si>
  <si>
    <t>OXFORD FINANCE FUNDING TRUST O</t>
  </si>
  <si>
    <t>78403D-AR-1</t>
  </si>
  <si>
    <t>82653D-AA-7</t>
  </si>
  <si>
    <t>TAL ADVANTAGE LLC TAL_20-1A Series 144A</t>
  </si>
  <si>
    <t>UNITED AIRLINES 2019-2 CLASS A</t>
  </si>
  <si>
    <t>92348C-AC-5</t>
  </si>
  <si>
    <t>WORLD OMNI AUTO RECEIVABLES TR WORLD OMN</t>
  </si>
  <si>
    <t>3500203</t>
  </si>
  <si>
    <t>009090-AA-9</t>
  </si>
  <si>
    <t>009090-AB-7</t>
  </si>
  <si>
    <t>3500207</t>
  </si>
  <si>
    <t>3500210</t>
  </si>
  <si>
    <t>3500214</t>
  </si>
  <si>
    <t>12548M-BF-1</t>
  </si>
  <si>
    <t>3500221</t>
  </si>
  <si>
    <t>DRYDEN SENIOR LOAN FUND DRSLF_ DRYDEN SE</t>
  </si>
  <si>
    <t>3500225</t>
  </si>
  <si>
    <t>38137H-BU-1</t>
  </si>
  <si>
    <t>549300ZH5R2TCUAYC824</t>
  </si>
  <si>
    <t>50189P-AL-6</t>
  </si>
  <si>
    <t>MADISON PARK FUNDING LTD</t>
  </si>
  <si>
    <t>MAGNETITE CLO LTD MAGNE_17-19A</t>
  </si>
  <si>
    <t>3500232</t>
  </si>
  <si>
    <t>STEWART PARK CLO LTD STWRT Series 144A</t>
  </si>
  <si>
    <t>VOYA CLO LTD VOYA_20-3A</t>
  </si>
  <si>
    <t>3899999</t>
  </si>
  <si>
    <t>Subtotal - Bonds - Hybrid Securities - Issuer Obligations</t>
  </si>
  <si>
    <t>4400000</t>
  </si>
  <si>
    <t>Subtotal - Bonds - Hybrid Securities - Commercial Mortgage-Backed Securities</t>
  </si>
  <si>
    <t>SCDPT2SN2</t>
  </si>
  <si>
    <t>Subtotal - Common Stock - Parent, Subsidiaries and Affiliates Other</t>
  </si>
  <si>
    <t>9400000</t>
  </si>
  <si>
    <t>9699999</t>
  </si>
  <si>
    <t>3100019</t>
  </si>
  <si>
    <t>3800005</t>
  </si>
  <si>
    <t>BEMIS COMPANY INC    3.625% 04/28/26</t>
  </si>
  <si>
    <t>3800009</t>
  </si>
  <si>
    <t>3800012</t>
  </si>
  <si>
    <t>3800016</t>
  </si>
  <si>
    <t>3800023</t>
  </si>
  <si>
    <t>GOLDMAN SACHS &amp; CO</t>
  </si>
  <si>
    <t>3800027</t>
  </si>
  <si>
    <t>3800030</t>
  </si>
  <si>
    <t>BMO NESBITT BURNS</t>
  </si>
  <si>
    <t>3800034</t>
  </si>
  <si>
    <t>CSLB HOLDINGS INC    2.380% 05/27/27</t>
  </si>
  <si>
    <t>3800041</t>
  </si>
  <si>
    <t>3800045</t>
  </si>
  <si>
    <t>3800052</t>
  </si>
  <si>
    <t>3800063</t>
  </si>
  <si>
    <t>COMCAST CORP    3.300% 04/01/27</t>
  </si>
  <si>
    <t>3800070</t>
  </si>
  <si>
    <t>3800107</t>
  </si>
  <si>
    <t>3800114</t>
  </si>
  <si>
    <t>3800118</t>
  </si>
  <si>
    <t>3800121</t>
  </si>
  <si>
    <t>3800125</t>
  </si>
  <si>
    <t>3800129</t>
  </si>
  <si>
    <t>3800132</t>
  </si>
  <si>
    <t>3800136</t>
  </si>
  <si>
    <t>3800143</t>
  </si>
  <si>
    <t>MCKINSEY &amp; CO    2.700% 06/11/27</t>
  </si>
  <si>
    <t>3800150</t>
  </si>
  <si>
    <t>3800154</t>
  </si>
  <si>
    <t>3800161</t>
  </si>
  <si>
    <t>PVH CORP    4.625% 07/10/25</t>
  </si>
  <si>
    <t>3800205</t>
  </si>
  <si>
    <t>3800209</t>
  </si>
  <si>
    <t>3800212</t>
  </si>
  <si>
    <t>VF CORPORATION    2.800% 04/23/27</t>
  </si>
  <si>
    <t>3800216</t>
  </si>
  <si>
    <t>3800223</t>
  </si>
  <si>
    <t>3800227</t>
  </si>
  <si>
    <t>3800230</t>
  </si>
  <si>
    <t>3800234</t>
  </si>
  <si>
    <t>3800241</t>
  </si>
  <si>
    <t>3800245</t>
  </si>
  <si>
    <t>3800252</t>
  </si>
  <si>
    <t>3800270</t>
  </si>
  <si>
    <t>250343-GK-0</t>
  </si>
  <si>
    <t>NEW HAVEN CONN</t>
  </si>
  <si>
    <t>AIR LEASE CORPORATION</t>
  </si>
  <si>
    <t>Call      111.3120</t>
  </si>
  <si>
    <t>AMXCA_18-5</t>
  </si>
  <si>
    <t>0258M0-DT-3</t>
  </si>
  <si>
    <t>9ET6B8VCXWW51H8Z3M54</t>
  </si>
  <si>
    <t>05377R-CC-6</t>
  </si>
  <si>
    <t>AVIS BUDGET RENTAL CAR FUNDING SERIES 20</t>
  </si>
  <si>
    <t>075887-AW-9</t>
  </si>
  <si>
    <t>125634-AN-5</t>
  </si>
  <si>
    <t>INGREDION INC    4.625% 11/01/20</t>
  </si>
  <si>
    <t>29372E-BW-7</t>
  </si>
  <si>
    <t>44918L-AG-7</t>
  </si>
  <si>
    <t>45866F-AC-8</t>
  </si>
  <si>
    <t>EF9UQIIO4KY2BWOK3P26</t>
  </si>
  <si>
    <t>72925P-AC-9</t>
  </si>
  <si>
    <t>PUGET SOUND ENERGY INC</t>
  </si>
  <si>
    <t>Call      103.0214</t>
  </si>
  <si>
    <t>05541V-AA-4</t>
  </si>
  <si>
    <t>UBM PLC    4.450% 06/15/24</t>
  </si>
  <si>
    <t>013817-AV-3</t>
  </si>
  <si>
    <t>PVH CORP Series 144A    4.625% 07/10/25</t>
  </si>
  <si>
    <t>Subtotal - Preferred Stock - Parent</t>
  </si>
  <si>
    <t>1500000</t>
  </si>
  <si>
    <t>Company</t>
  </si>
  <si>
    <t>Identifier</t>
  </si>
  <si>
    <t>SCDPT1</t>
  </si>
  <si>
    <t xml:space="preserve">Par Value </t>
  </si>
  <si>
    <t xml:space="preserve">Interest: Effective Rate of </t>
  </si>
  <si>
    <t xml:space="preserve">Fair Value Hierarchy Level and Method Used to Obtain Fair Value Code </t>
  </si>
  <si>
    <t xml:space="preserve">Effective Date of Maturity </t>
  </si>
  <si>
    <t>O</t>
  </si>
  <si>
    <t>912828-VB-3</t>
  </si>
  <si>
    <t>0399999</t>
  </si>
  <si>
    <t>1.C FE</t>
  </si>
  <si>
    <t>0700000</t>
  </si>
  <si>
    <t>MA</t>
  </si>
  <si>
    <t>476576-HT-3</t>
  </si>
  <si>
    <t>549300ABYZD2SFD5JB29</t>
  </si>
  <si>
    <t>OXNARD CALIF SCH DIST MUNI BND GO</t>
  </si>
  <si>
    <t>828641-UD-0</t>
  </si>
  <si>
    <t>SIMI VALLEY CALIF UNI SCH DIST</t>
  </si>
  <si>
    <t>040654-XW-0</t>
  </si>
  <si>
    <t>050589-RB-8</t>
  </si>
  <si>
    <t>050589-RC-6</t>
  </si>
  <si>
    <t>26443C-AG-8</t>
  </si>
  <si>
    <t>41422E-KR-3</t>
  </si>
  <si>
    <t>LOUISIANA (STATE OF) LOUISIANA ST GAS &amp;</t>
  </si>
  <si>
    <t>54930039Y2EMGXN6LM88</t>
  </si>
  <si>
    <t>SMITHSONIAN INSTITUTION</t>
  </si>
  <si>
    <t>88213A-FX-8</t>
  </si>
  <si>
    <t>WISCONSIN ST WISCONSIN ST</t>
  </si>
  <si>
    <t>2800000</t>
  </si>
  <si>
    <t>ABBVIE INC</t>
  </si>
  <si>
    <t>2.A FE</t>
  </si>
  <si>
    <t>3200009</t>
  </si>
  <si>
    <t>7QEON6Y1RL5XR3R1W237</t>
  </si>
  <si>
    <t>3200016</t>
  </si>
  <si>
    <t>AMERICAN HONDA FINANCE CORPORA</t>
  </si>
  <si>
    <t>3200027</t>
  </si>
  <si>
    <t>AI8GXW8LG5WK7E9UD086</t>
  </si>
  <si>
    <t>3200034</t>
  </si>
  <si>
    <t>3200038</t>
  </si>
  <si>
    <t>3200045</t>
  </si>
  <si>
    <t>Z8X7HLNS173XGDTUJI40</t>
  </si>
  <si>
    <t>AXA EQUITABLE HOLDINGS INC</t>
  </si>
  <si>
    <t>549300FIBAKMNHPZ4009</t>
  </si>
  <si>
    <t>3200049</t>
  </si>
  <si>
    <t>C90VT034M03BN29IRA40</t>
  </si>
  <si>
    <t>3200052</t>
  </si>
  <si>
    <t>BANK OF AMERICA CORP</t>
  </si>
  <si>
    <t>3200056</t>
  </si>
  <si>
    <t>071813-BQ-1</t>
  </si>
  <si>
    <t>07274N-AE-3</t>
  </si>
  <si>
    <t>3200063</t>
  </si>
  <si>
    <t>09062X-AE-3</t>
  </si>
  <si>
    <t>BLACKROCK INC</t>
  </si>
  <si>
    <t>3200067</t>
  </si>
  <si>
    <t>3200070</t>
  </si>
  <si>
    <t>101137-AZ-0</t>
  </si>
  <si>
    <t>10373Q-AB-6</t>
  </si>
  <si>
    <t>10373Q-AD-2</t>
  </si>
  <si>
    <t>3200074</t>
  </si>
  <si>
    <t>110122-CX-4</t>
  </si>
  <si>
    <t>110122-CY-2</t>
  </si>
  <si>
    <t>3200081</t>
  </si>
  <si>
    <t>3200092</t>
  </si>
  <si>
    <t>3D</t>
  </si>
  <si>
    <t>14040H-BJ-3</t>
  </si>
  <si>
    <t>549300BY26GXF5YHV453</t>
  </si>
  <si>
    <t>3200118</t>
  </si>
  <si>
    <t>8E6NF1YAL0WT6CWXXV93</t>
  </si>
  <si>
    <t>3200125</t>
  </si>
  <si>
    <t>CITIZENS BANK NA</t>
  </si>
  <si>
    <t>DRMSV1Q0EKMEXLAU1P80</t>
  </si>
  <si>
    <t>17401Q-AU-5</t>
  </si>
  <si>
    <t>CITIZENS FINANCIAL GROUP</t>
  </si>
  <si>
    <t>CLEARBRIDGE ENERGY MLP OPPORTU</t>
  </si>
  <si>
    <t>3200129</t>
  </si>
  <si>
    <t>COMCAST CORP</t>
  </si>
  <si>
    <t>3200136</t>
  </si>
  <si>
    <t>XXRTID9RYWOZ0UPIVR53</t>
  </si>
  <si>
    <t>3200143</t>
  </si>
  <si>
    <t>CORNING INC</t>
  </si>
  <si>
    <t>549300X2937PB0CJ7I56</t>
  </si>
  <si>
    <t>3200147</t>
  </si>
  <si>
    <t>3200150</t>
  </si>
  <si>
    <t>24422E-TV-1</t>
  </si>
  <si>
    <t>3200154</t>
  </si>
  <si>
    <t>3200158</t>
  </si>
  <si>
    <t>25278X-AM-1</t>
  </si>
  <si>
    <t>DIAMONDBACK ENERGY INC</t>
  </si>
  <si>
    <t>3200161</t>
  </si>
  <si>
    <t>3200165</t>
  </si>
  <si>
    <t>26078J-AC-4</t>
  </si>
  <si>
    <t>26138E-AW-9</t>
  </si>
  <si>
    <t>EOG RESOURCES INC</t>
  </si>
  <si>
    <t>269246-BP-8</t>
  </si>
  <si>
    <t>27409L-AA-1</t>
  </si>
  <si>
    <t>3200172</t>
  </si>
  <si>
    <t>ENTERGY AK INC</t>
  </si>
  <si>
    <t>3200183</t>
  </si>
  <si>
    <t>30040W-AG-3</t>
  </si>
  <si>
    <t>31677Q-BR-9</t>
  </si>
  <si>
    <t>549300V2X3UU7K0DG350</t>
  </si>
  <si>
    <t>3200190</t>
  </si>
  <si>
    <t>NATIONAL FOOTBALL LEAGUE TRUST</t>
  </si>
  <si>
    <t>FORTIVE CORP</t>
  </si>
  <si>
    <t>GENERAL DYNAMICS CORP</t>
  </si>
  <si>
    <t>369550-AW-8</t>
  </si>
  <si>
    <t>3200209</t>
  </si>
  <si>
    <t>375558-BF-9</t>
  </si>
  <si>
    <t>3200216</t>
  </si>
  <si>
    <t>38869P-AM-6</t>
  </si>
  <si>
    <t>GRAY OAK PIPELINE LLC Series 144A</t>
  </si>
  <si>
    <t>3200227</t>
  </si>
  <si>
    <t>413086-AH-2</t>
  </si>
  <si>
    <t>3200234</t>
  </si>
  <si>
    <t>3200238</t>
  </si>
  <si>
    <t>3200241</t>
  </si>
  <si>
    <t>INTERNATIONAL BUSINESS MACHINE</t>
  </si>
  <si>
    <t>3200245</t>
  </si>
  <si>
    <t>5493000CGCQY2OQU7669</t>
  </si>
  <si>
    <t>46647P-AU-0</t>
  </si>
  <si>
    <t>3200249</t>
  </si>
  <si>
    <t>3200252</t>
  </si>
  <si>
    <t>3200256</t>
  </si>
  <si>
    <t>KEYCORP</t>
  </si>
  <si>
    <t>501044-DE-8</t>
  </si>
  <si>
    <t>3200263</t>
  </si>
  <si>
    <t>3200270</t>
  </si>
  <si>
    <t>3200274</t>
  </si>
  <si>
    <t>5493000CZJ19CK4P3G36</t>
  </si>
  <si>
    <t>55336V-BK-5</t>
  </si>
  <si>
    <t>MAPLELEAF MIDSTREAM INVESTMENT</t>
  </si>
  <si>
    <t>3200281</t>
  </si>
  <si>
    <t>MARKEL CORP</t>
  </si>
  <si>
    <t>549300XMP3KDCKJXIU47</t>
  </si>
  <si>
    <t>MARTIN MARIETTA</t>
  </si>
  <si>
    <t>3200292</t>
  </si>
  <si>
    <t>58174#-AF-1</t>
  </si>
  <si>
    <t>METROPOLITAN LIFE GLOBAL FUNDI</t>
  </si>
  <si>
    <t>3200307</t>
  </si>
  <si>
    <t>MONDELEZ INTERNATIONAL INC</t>
  </si>
  <si>
    <t>61744Y-AQ-1</t>
  </si>
  <si>
    <t>3200318</t>
  </si>
  <si>
    <t>NATIONAL FUEL GAS COMPANY</t>
  </si>
  <si>
    <t>3200325</t>
  </si>
  <si>
    <t>3200329</t>
  </si>
  <si>
    <t>64952W-CH-4</t>
  </si>
  <si>
    <t>NEW YORK LIFE GLOBAL FUNDING Series 144A</t>
  </si>
  <si>
    <t>NEWMARKET CORP</t>
  </si>
  <si>
    <t>1.D</t>
  </si>
  <si>
    <t>3200336</t>
  </si>
  <si>
    <t>66989H-AJ-7</t>
  </si>
  <si>
    <t>3200343</t>
  </si>
  <si>
    <t>3200347</t>
  </si>
  <si>
    <t>3200350</t>
  </si>
  <si>
    <t>3200354</t>
  </si>
  <si>
    <t>717081-DV-2</t>
  </si>
  <si>
    <t>3200358</t>
  </si>
  <si>
    <t>3200361</t>
  </si>
  <si>
    <t>FXM8FAOHMYDIPD38UZ17</t>
  </si>
  <si>
    <t>3200365</t>
  </si>
  <si>
    <t>3200372</t>
  </si>
  <si>
    <t>3200383</t>
  </si>
  <si>
    <t>78355H-KL-2</t>
  </si>
  <si>
    <t>RYDER SYSTEM INC</t>
  </si>
  <si>
    <t>3200390</t>
  </si>
  <si>
    <t>MERCK &amp; CO INC</t>
  </si>
  <si>
    <t>3200409</t>
  </si>
  <si>
    <t>858119-BJ-8</t>
  </si>
  <si>
    <t>3200416</t>
  </si>
  <si>
    <t>HCHV7422L5HDJZCRFL38</t>
  </si>
  <si>
    <t>LUZQVYP4VS22CLWDAR65</t>
  </si>
  <si>
    <t>3200427</t>
  </si>
  <si>
    <t>3200434</t>
  </si>
  <si>
    <t>UNILEVER CAPITAL CORP</t>
  </si>
  <si>
    <t>3200438</t>
  </si>
  <si>
    <t>3200441</t>
  </si>
  <si>
    <t>3200445</t>
  </si>
  <si>
    <t>3200449</t>
  </si>
  <si>
    <t>3200452</t>
  </si>
  <si>
    <t>549300WH1375KZXLJ231</t>
  </si>
  <si>
    <t>3200456</t>
  </si>
  <si>
    <t>92940P-AE-4</t>
  </si>
  <si>
    <t>931142-ED-1</t>
  </si>
  <si>
    <t>WASTE CONNECTIONS INC. WASTE CONNECTIONS</t>
  </si>
  <si>
    <t>PBLD0EJDB5FWOLXP3B76</t>
  </si>
  <si>
    <t>3200463</t>
  </si>
  <si>
    <t>3200470</t>
  </si>
  <si>
    <t>3200474</t>
  </si>
  <si>
    <t>WOLVERINE WORLD WIDE INC</t>
  </si>
  <si>
    <t>XYLEM INC</t>
  </si>
  <si>
    <t>3200481</t>
  </si>
  <si>
    <t>29250N-AY-1</t>
  </si>
  <si>
    <t>92658T-AQ-1</t>
  </si>
  <si>
    <t>YAMANA GOLD YAMANA GOLD INC</t>
  </si>
  <si>
    <t>AIA GROUP LTD</t>
  </si>
  <si>
    <t>ALCOA NEDERLAND HOLDING BV</t>
  </si>
  <si>
    <t>3200507</t>
  </si>
  <si>
    <t>09659W-2D-5</t>
  </si>
  <si>
    <t>3200518</t>
  </si>
  <si>
    <t>09659W-2E-3</t>
  </si>
  <si>
    <t>3200525</t>
  </si>
  <si>
    <t>3200529</t>
  </si>
  <si>
    <t>3200532</t>
  </si>
  <si>
    <t>FLEXTRONICS INTL LTD.</t>
  </si>
  <si>
    <t>GENPACT LUXEMBOURG SARL</t>
  </si>
  <si>
    <t>3200536</t>
  </si>
  <si>
    <t>456837-AU-7</t>
  </si>
  <si>
    <t>JOHNSON CONTROLS INTL PL SERIES *</t>
  </si>
  <si>
    <t>SERIES *</t>
  </si>
  <si>
    <t>3200543</t>
  </si>
  <si>
    <t>3200547</t>
  </si>
  <si>
    <t>MARVELL TECH GRP LTD.</t>
  </si>
  <si>
    <t>3200550</t>
  </si>
  <si>
    <t>NXP BV AND NXP FUNDING LLC</t>
  </si>
  <si>
    <t>3200554</t>
  </si>
  <si>
    <t>62954H-AC-2</t>
  </si>
  <si>
    <t>ROYALTY PHARMA PLC Series 144A</t>
  </si>
  <si>
    <t>3200561</t>
  </si>
  <si>
    <t>O2RNE8IBXP4R0TD8PU41</t>
  </si>
  <si>
    <t>3200565</t>
  </si>
  <si>
    <t>3200572</t>
  </si>
  <si>
    <t>87164K-AG-9</t>
  </si>
  <si>
    <t>TAKEDA PHARMACEUTICAL CO LTD TAKEDA PHAR</t>
  </si>
  <si>
    <t>FIRSTGROUP PLC</t>
  </si>
  <si>
    <t>3200583</t>
  </si>
  <si>
    <t>NORDIC AVIATION CAPITAL A/S</t>
  </si>
  <si>
    <t>3200590</t>
  </si>
  <si>
    <t>H4777*-AA-3</t>
  </si>
  <si>
    <t>3299999</t>
  </si>
  <si>
    <t>BXG RECEIVABLES NOTE TRUST BXG</t>
  </si>
  <si>
    <t>3500029</t>
  </si>
  <si>
    <t>3500036</t>
  </si>
  <si>
    <t>14316H-AF-9</t>
  </si>
  <si>
    <t>CARVANA AUTO RECEIVABLES TRUST CARVANA A</t>
  </si>
  <si>
    <t>CHESAPEAKE FUNDING II LLC CFII</t>
  </si>
  <si>
    <t>3500047</t>
  </si>
  <si>
    <t>3500054</t>
  </si>
  <si>
    <t>18978C-AE-3</t>
  </si>
  <si>
    <t>3500058</t>
  </si>
  <si>
    <t>3500061</t>
  </si>
  <si>
    <t>24704D-AL-4</t>
  </si>
  <si>
    <t>3500065</t>
  </si>
  <si>
    <t>3500069</t>
  </si>
  <si>
    <t>3500072</t>
  </si>
  <si>
    <t>3500076</t>
  </si>
  <si>
    <t>FORD CREDIT AUTO OWNER TRUST F FORD CRED</t>
  </si>
  <si>
    <t>3500083</t>
  </si>
  <si>
    <t>3500090</t>
  </si>
  <si>
    <t>36256X-AG-7</t>
  </si>
  <si>
    <t>3500094</t>
  </si>
  <si>
    <t>MVW OWNER TRUST MVWOT_15-1A</t>
  </si>
  <si>
    <t>3500127</t>
  </si>
  <si>
    <t>553891-AA-0</t>
  </si>
  <si>
    <t>3500138</t>
  </si>
  <si>
    <t>60700K-AE-2</t>
  </si>
  <si>
    <t>3500145</t>
  </si>
  <si>
    <t>3500149</t>
  </si>
  <si>
    <t>78403D-AP-5</t>
  </si>
  <si>
    <t>3500156</t>
  </si>
  <si>
    <t>82652M-AB-6</t>
  </si>
  <si>
    <t>82652M-AC-4</t>
  </si>
  <si>
    <t>3500163</t>
  </si>
  <si>
    <t>3500167</t>
  </si>
  <si>
    <t>3500170</t>
  </si>
  <si>
    <t>3500174</t>
  </si>
  <si>
    <t>3500178</t>
  </si>
  <si>
    <t>3500181</t>
  </si>
  <si>
    <t>3500185</t>
  </si>
  <si>
    <t>VERIZON OWNER TRUST VZOT_17-3A</t>
  </si>
  <si>
    <t>3500192</t>
  </si>
  <si>
    <t>95058X-AD-0</t>
  </si>
  <si>
    <t>98163C-AH-3</t>
  </si>
  <si>
    <t>MASTER CREDIT CARD TRUST MCCT_ Series 14</t>
  </si>
  <si>
    <t>08186P-AA-1</t>
  </si>
  <si>
    <t>3500218</t>
  </si>
  <si>
    <t>CIFC FUNDING LTD CIFC_16-1A</t>
  </si>
  <si>
    <t>3500229</t>
  </si>
  <si>
    <t>MARINER CLO LLC MARNR_18-5A</t>
  </si>
  <si>
    <t>67098W-AA-9</t>
  </si>
  <si>
    <t>675711-AC-9</t>
  </si>
  <si>
    <t>3500236</t>
  </si>
  <si>
    <t>92918N-AC-1</t>
  </si>
  <si>
    <t>VOYA CLO LTD VOYA_20-3A Series 144A</t>
  </si>
  <si>
    <t>5999999</t>
  </si>
  <si>
    <t>Subtotal - Unaffiliated Bank Loans</t>
  </si>
  <si>
    <t>Total - Commercial Mortgage-Backed Securities</t>
  </si>
  <si>
    <t>8299999</t>
  </si>
  <si>
    <t>9099999</t>
  </si>
  <si>
    <t>Subtotal - Closed-End Funds</t>
  </si>
  <si>
    <t xml:space="preserve">Number of Shares of Stock </t>
  </si>
  <si>
    <t>3800038</t>
  </si>
  <si>
    <t>3800049</t>
  </si>
  <si>
    <t>3800056</t>
  </si>
  <si>
    <t>3800067</t>
  </si>
  <si>
    <t>3800074</t>
  </si>
  <si>
    <t>3800078</t>
  </si>
  <si>
    <t>3800081</t>
  </si>
  <si>
    <t>3800085</t>
  </si>
  <si>
    <t>3800089</t>
  </si>
  <si>
    <t>3800092</t>
  </si>
  <si>
    <t>3800096</t>
  </si>
  <si>
    <t>LOWES COMPANIES INC    1.300% 04/15/28</t>
  </si>
  <si>
    <t>3800147</t>
  </si>
  <si>
    <t>NHL US FUNDING LP    3.040% 08/13/27</t>
  </si>
  <si>
    <t>3800158</t>
  </si>
  <si>
    <t>PNC CAPITAL MARKETS</t>
  </si>
  <si>
    <t>3800165</t>
  </si>
  <si>
    <t>3800169</t>
  </si>
  <si>
    <t>3800172</t>
  </si>
  <si>
    <t>QVC INC    4.750% 02/15/27</t>
  </si>
  <si>
    <t>3800176</t>
  </si>
  <si>
    <t>3800183</t>
  </si>
  <si>
    <t>3800187</t>
  </si>
  <si>
    <t>3800190</t>
  </si>
  <si>
    <t>3800194</t>
  </si>
  <si>
    <t>3800238</t>
  </si>
  <si>
    <t>3800249</t>
  </si>
  <si>
    <t>3800256</t>
  </si>
  <si>
    <t>3800263</t>
  </si>
  <si>
    <t>3800267</t>
  </si>
  <si>
    <t>3800274</t>
  </si>
  <si>
    <t>3800278</t>
  </si>
  <si>
    <t>3800281</t>
  </si>
  <si>
    <t>8600000</t>
  </si>
  <si>
    <t xml:space="preserve">Total Change in Book/ Adjusted Carrying Value (11 + 12 - 13) </t>
  </si>
  <si>
    <t>2400001</t>
  </si>
  <si>
    <t>MARKETAXESS</t>
  </si>
  <si>
    <t>00914A-AB-8</t>
  </si>
  <si>
    <t>AMERICAN AIRLINES</t>
  </si>
  <si>
    <t>IHXLB8SL0QWSSG2VG640</t>
  </si>
  <si>
    <t>06406H-DF-3</t>
  </si>
  <si>
    <t>110122-BH-0</t>
  </si>
  <si>
    <t>14316L-AF-0</t>
  </si>
  <si>
    <t>Call      101.5570</t>
  </si>
  <si>
    <t>35137L-AB-1</t>
  </si>
  <si>
    <t>GILEAD SCIENCES INC    2.350% 02/01/20</t>
  </si>
  <si>
    <t>GLOBAL SC FINANCE SRL SEACO_17 GLOBAL SC</t>
  </si>
  <si>
    <t>TENDER</t>
  </si>
  <si>
    <t>Call      112.7420</t>
  </si>
  <si>
    <t>549300IUTGTP6EJP8124</t>
  </si>
  <si>
    <t>871829-AX-5</t>
  </si>
  <si>
    <t>878237-AG-1</t>
  </si>
  <si>
    <t>TRINITY RAIL LEASING LP TRL_18</t>
  </si>
  <si>
    <t>89679H-AN-5</t>
  </si>
  <si>
    <t>90331H-NG-4</t>
  </si>
  <si>
    <t>91159H-HL-7</t>
  </si>
  <si>
    <t>I07WOS4YJ0N7YRFE7309</t>
  </si>
  <si>
    <t>549300YGMGQDO0NMJD09</t>
  </si>
  <si>
    <t>WASTE MANAGEMENT INC</t>
  </si>
  <si>
    <t>SER 2013-1 CLASS A  EETC</t>
  </si>
  <si>
    <t>SBM DEEP PANUKE SA    3.500% 12/15/21</t>
  </si>
  <si>
    <t>SCDPT5</t>
  </si>
  <si>
    <t>22822V-AS-0</t>
  </si>
  <si>
    <t>0100000</t>
  </si>
  <si>
    <t>Subtotal - Preferred Stock - U.S. P&amp;C Insurer</t>
  </si>
  <si>
    <t>Subtotal - Common Stock - Parent</t>
  </si>
  <si>
    <t>Subtotal - Common Stock - Investment Sub</t>
  </si>
  <si>
    <t xml:space="preserve">Description </t>
  </si>
  <si>
    <t xml:space="preserve">Code </t>
  </si>
  <si>
    <t>0100004</t>
  </si>
  <si>
    <t>912828-2N-9</t>
  </si>
  <si>
    <t>JJ</t>
  </si>
  <si>
    <t>0100008</t>
  </si>
  <si>
    <t>0100011</t>
  </si>
  <si>
    <t>0100015</t>
  </si>
  <si>
    <t>0100022</t>
  </si>
  <si>
    <t>4</t>
  </si>
  <si>
    <t>Subtotal - Bonds - U.S. Governments - Other Loan-Backed and Structured Securities</t>
  </si>
  <si>
    <t>BERMUDA (GOVERNMENT)</t>
  </si>
  <si>
    <t>HAWAII ST HAWAII ST</t>
  </si>
  <si>
    <t>57582R-L6-1</t>
  </si>
  <si>
    <t>1.B FE</t>
  </si>
  <si>
    <t>NJ</t>
  </si>
  <si>
    <t>2499999</t>
  </si>
  <si>
    <t>2500002</t>
  </si>
  <si>
    <t>2500006</t>
  </si>
  <si>
    <t>2500013</t>
  </si>
  <si>
    <t>DALLAS TEX WTRWKS &amp; SWR SYS RE</t>
  </si>
  <si>
    <t>2500020</t>
  </si>
  <si>
    <t>KANSAS ST DEV FIN AUTH</t>
  </si>
  <si>
    <t>2500024</t>
  </si>
  <si>
    <t>PORT MORROW ORE PORT MORROW ORE TRANSMIS</t>
  </si>
  <si>
    <t>2500031</t>
  </si>
  <si>
    <t>TEXAS A &amp; M UNIV REV</t>
  </si>
  <si>
    <t>Subtotal - Bonds - U.S. Special Revenues - Issuer Obligations</t>
  </si>
  <si>
    <t>00440E-AS-6</t>
  </si>
  <si>
    <t>019736-AG-2</t>
  </si>
  <si>
    <t>ALLISON TRANSMISSION INC</t>
  </si>
  <si>
    <t>042735-BG-4</t>
  </si>
  <si>
    <t>549300YNNLBXT8N8R512</t>
  </si>
  <si>
    <t>54930049QLLMPART6V29</t>
  </si>
  <si>
    <t>BAYER US FINANCE II LLC</t>
  </si>
  <si>
    <t>075887-BA-6</t>
  </si>
  <si>
    <t>ICE2EP6D98PQUILVRZ91</t>
  </si>
  <si>
    <t>085770-AA-3</t>
  </si>
  <si>
    <t>HLYYNH7UQUORYSJQCN42</t>
  </si>
  <si>
    <t>3200078</t>
  </si>
  <si>
    <t>BUNGE LIMITED FINANCE CORPORAT</t>
  </si>
  <si>
    <t>3200085</t>
  </si>
  <si>
    <t>3200089</t>
  </si>
  <si>
    <t>549300WEVUODRJ4CWK56</t>
  </si>
  <si>
    <t>3200096</t>
  </si>
  <si>
    <t>126650-CW-8</t>
  </si>
  <si>
    <t>CAPITAL ONE FIN CORP</t>
  </si>
  <si>
    <t>14040H-BZ-7</t>
  </si>
  <si>
    <t>CARDINAL HEALTH INC</t>
  </si>
  <si>
    <t>14913Q-2S-7</t>
  </si>
  <si>
    <t>CHEVRON USA INC.</t>
  </si>
  <si>
    <t>CIMAREX ENERGY CO.</t>
  </si>
  <si>
    <t>185508-C@-5</t>
  </si>
  <si>
    <t>191216-CN-8</t>
  </si>
  <si>
    <t>B3MEDVFOVCVDXCQQFS03</t>
  </si>
  <si>
    <t>CONTINENTAL RESOURCES</t>
  </si>
  <si>
    <t>224044-CG-0</t>
  </si>
  <si>
    <t>549300DOVZ3EDJB7O259</t>
  </si>
  <si>
    <t>JOHN DEERE CAPITAL CORP</t>
  </si>
  <si>
    <t>24422E-VB-2</t>
  </si>
  <si>
    <t>3200169</t>
  </si>
  <si>
    <t>FGLT0EWZSUIRRITFOA30</t>
  </si>
  <si>
    <t>3200176</t>
  </si>
  <si>
    <t>29275Y-AB-8</t>
  </si>
  <si>
    <t>SERIES 144A</t>
  </si>
  <si>
    <t>FMC CORP</t>
  </si>
  <si>
    <t>3200187</t>
  </si>
  <si>
    <t>3200194</t>
  </si>
  <si>
    <t>3200198</t>
  </si>
  <si>
    <t>37331N-AL-5</t>
  </si>
  <si>
    <t>GLOBAL PAYMENTS INC</t>
  </si>
  <si>
    <t>GUARDIAN LIFE GLOBAL FUNDING Series 144A</t>
  </si>
  <si>
    <t>40139L-BA-0</t>
  </si>
  <si>
    <t>5493000F4ZO33MV32P92</t>
  </si>
  <si>
    <t>JABIL CIRCUIT INC</t>
  </si>
  <si>
    <t>JERSEY CTL PWR &amp; LT CO Series 144A</t>
  </si>
  <si>
    <t>OZ7UA8IXAIFILY2VZH07</t>
  </si>
  <si>
    <t>3200267</t>
  </si>
  <si>
    <t>LEVEL 3 FINANCING INC</t>
  </si>
  <si>
    <t>53154*-AK-9</t>
  </si>
  <si>
    <t>53154*-AM-5</t>
  </si>
  <si>
    <t>WAFCR4OKGSC504WU3E95</t>
  </si>
  <si>
    <t>3200278</t>
  </si>
  <si>
    <t>MAPLELEAF MIDSTREAM INVESTMENT MAPLELEAF</t>
  </si>
  <si>
    <t>3200285</t>
  </si>
  <si>
    <t>3200289</t>
  </si>
  <si>
    <t>3200296</t>
  </si>
  <si>
    <t>MICROSOFT CORPORATION</t>
  </si>
  <si>
    <t>594918-BQ-6</t>
  </si>
  <si>
    <t>62927@-AF-5</t>
  </si>
  <si>
    <t>636180-BL-4</t>
  </si>
  <si>
    <t>NATIONAL RURAL UTILITIES COOP</t>
  </si>
  <si>
    <t>NORTHERN ILLINOIS GAS COMPANY</t>
  </si>
  <si>
    <t>NORTHROP GRUMMAN CORP</t>
  </si>
  <si>
    <t>NUTRITION &amp; BIOSCIENCES INC</t>
  </si>
  <si>
    <t>HKUPACFHSSASQK8HLS17</t>
  </si>
  <si>
    <t>713448-ER-5</t>
  </si>
  <si>
    <t>PFIZER INC</t>
  </si>
  <si>
    <t>723484-AH-4</t>
  </si>
  <si>
    <t>FY8JBF7CCL2VE4F1B628</t>
  </si>
  <si>
    <t>PNC EQUIPMENT FINANCE LLC</t>
  </si>
  <si>
    <t>PRICEWATERHOUSECOOPERS</t>
  </si>
  <si>
    <t>3200369</t>
  </si>
  <si>
    <t>74256L-BJ-7</t>
  </si>
  <si>
    <t>PUSS41EMO3E6XXNV3U28</t>
  </si>
  <si>
    <t>3200376</t>
  </si>
  <si>
    <t>ROCHE HOLDINGS INC Series 144A</t>
  </si>
  <si>
    <t>3200387</t>
  </si>
  <si>
    <t>785592-AU-0</t>
  </si>
  <si>
    <t>3200394</t>
  </si>
  <si>
    <t>3200398</t>
  </si>
  <si>
    <t>SMITHFIELD FOODS, INC.</t>
  </si>
  <si>
    <t>STATE STREET CORPORATION</t>
  </si>
  <si>
    <t>863667-AH-4</t>
  </si>
  <si>
    <t>5RGWIFLMGH3YS7KWI652</t>
  </si>
  <si>
    <t>549300YC5EDBGX85AO10</t>
  </si>
  <si>
    <t>TEXAS INSTRUMENTS INC</t>
  </si>
  <si>
    <t>THERMO FISHER SCIENTIFIC INC</t>
  </si>
  <si>
    <t>89236T-BJ-3</t>
  </si>
  <si>
    <t>UNION PACIFIC CORPORATION</t>
  </si>
  <si>
    <t>91324P-DN-9</t>
  </si>
  <si>
    <t>91914J-AA-0</t>
  </si>
  <si>
    <t>WELLPOINT INC</t>
  </si>
  <si>
    <t>3200467</t>
  </si>
  <si>
    <t>WUURD1P1N0874ONXXO03</t>
  </si>
  <si>
    <t>3200478</t>
  </si>
  <si>
    <t>3200485</t>
  </si>
  <si>
    <t>3200489</t>
  </si>
  <si>
    <t>3200492</t>
  </si>
  <si>
    <t>549300BBCGA0CYX8IL74</t>
  </si>
  <si>
    <t>3200496</t>
  </si>
  <si>
    <t>MCCAIN FINANCE CANADA LTD</t>
  </si>
  <si>
    <t>034863-AP-5</t>
  </si>
  <si>
    <t>BPCE SA Series 144A</t>
  </si>
  <si>
    <t>22535W-AE-7</t>
  </si>
  <si>
    <t>OW6OFBNCKXC4US5C7523</t>
  </si>
  <si>
    <t>44962L-AH-0</t>
  </si>
  <si>
    <t>539439-AV-1</t>
  </si>
  <si>
    <t>549300PPXHEU2JF0AM85</t>
  </si>
  <si>
    <t>606822-AL-8</t>
  </si>
  <si>
    <t>MITSUBISHI UFJ FINANCIAL GROUP</t>
  </si>
  <si>
    <t>60687Y-AL-3</t>
  </si>
  <si>
    <t>62954H-AA-6</t>
  </si>
  <si>
    <t>NXP BV/NXP FUNDING LLC/NXP USA Series 14</t>
  </si>
  <si>
    <t>3200558</t>
  </si>
  <si>
    <t>ROYAL BANK OF SCOTLAND GROUP P</t>
  </si>
  <si>
    <t>549300FGFN7VOK8BZR03</t>
  </si>
  <si>
    <t>STANDARD CHARTERED PLC</t>
  </si>
  <si>
    <t>3200569</t>
  </si>
  <si>
    <t>SYNGENTA FINANCE AG</t>
  </si>
  <si>
    <t>UBS GROUP AG</t>
  </si>
  <si>
    <t>3200576</t>
  </si>
  <si>
    <t>529900V4TY1WZE63LI22</t>
  </si>
  <si>
    <t>G6515#-AH-7</t>
  </si>
  <si>
    <t>3200587</t>
  </si>
  <si>
    <t>ELECTRANET</t>
  </si>
  <si>
    <t>3200594</t>
  </si>
  <si>
    <t>Q9883#-AA-9</t>
  </si>
  <si>
    <t>Landsvirkjun</t>
  </si>
  <si>
    <t>Subtotal - Bonds - Industrial and Miscellaneous (Unaffiliated) - Residential Mortgage-Backed Securities</t>
  </si>
  <si>
    <t>AEP TEXAS CENTRAL TRANSITION F</t>
  </si>
  <si>
    <t>ARBYS FUNDING LLC ARBYS_20-1A Series 144</t>
  </si>
  <si>
    <t>DB MASTER FINANCE LLC DNKN_17- Series 14</t>
  </si>
  <si>
    <t>DB MASTER FINANCE LLC DNKN_17-</t>
  </si>
  <si>
    <t>254683-CE-3</t>
  </si>
  <si>
    <t>3500087</t>
  </si>
  <si>
    <t>3500098</t>
  </si>
  <si>
    <t>GREAT AMERICA LEASING RECEIVAB</t>
  </si>
  <si>
    <t>LTRAN_15-1A</t>
  </si>
  <si>
    <t>MVW OWNER TRUST MVWOT_14-1A</t>
  </si>
  <si>
    <t>NP SPE II LLC NPRL_17-1A</t>
  </si>
  <si>
    <t>63938P-BP-3</t>
  </si>
  <si>
    <t>63938P-BQ-1</t>
  </si>
  <si>
    <t>NEXTGEAR FLOORPLAN MASTER OWNE Series 14</t>
  </si>
  <si>
    <t>69145A-AB-4</t>
  </si>
  <si>
    <t>SBA TOWER TRUST</t>
  </si>
  <si>
    <t>TESLA AUTO LEASE TRUST TESLA_2 Series 14</t>
  </si>
  <si>
    <t>TRIP RAIL MASTER FUNDING LLC T Series 14</t>
  </si>
  <si>
    <t>3500189</t>
  </si>
  <si>
    <t>VOLVO FINANCIAL EQUIPMENT LLC</t>
  </si>
  <si>
    <t>92888D-AF-2</t>
  </si>
  <si>
    <t>3500196</t>
  </si>
  <si>
    <t>WENDYS FUNDING LLC WEN_19-1A</t>
  </si>
  <si>
    <t>98163C-AF-7</t>
  </si>
  <si>
    <t>CIFC FUNDING LTD CIFC_15-1A</t>
  </si>
  <si>
    <t>36319X-AC-1</t>
  </si>
  <si>
    <t>GALAXY CLO LTD GALXY_18-25A</t>
  </si>
  <si>
    <t>37959P-AA-5</t>
  </si>
  <si>
    <t>92914R-BG-6</t>
  </si>
  <si>
    <t>4599999</t>
  </si>
  <si>
    <t>4900000</t>
  </si>
  <si>
    <t>Subtotal - Bonds - Parent, Subsidiaries and Affiliates - Issuer Obligations</t>
  </si>
  <si>
    <t>5100000</t>
  </si>
  <si>
    <t>5399999</t>
  </si>
  <si>
    <t>Subtotal - Bonds - SVO Identified Funds - Bond Mutual Funds - as Identified by the SVO</t>
  </si>
  <si>
    <t>Total - Other Loan-Backed and Structured Securities</t>
  </si>
  <si>
    <t>P_2020_A_NAIC_SCDPT2SN2</t>
  </si>
  <si>
    <t>P4703#-10-1</t>
  </si>
  <si>
    <t>Subtotal - Bonds - All Other Governments</t>
  </si>
  <si>
    <t>Subtotal - Bonds - U.S. States, Territories and Possessions</t>
  </si>
  <si>
    <t>CBS CORP    2.900% 01/15/27</t>
  </si>
  <si>
    <t>3800198</t>
  </si>
  <si>
    <t>VISA INC    1.900% 04/15/27</t>
  </si>
  <si>
    <t>DELOITTE  LLP    3.320% 05/07/25</t>
  </si>
  <si>
    <t>BNP PARISBAS</t>
  </si>
  <si>
    <t>SOCIETE GENERALE    1.375% 07/08/25</t>
  </si>
  <si>
    <t>8000000</t>
  </si>
  <si>
    <t>Total - Preferred Stocks - Part 3</t>
  </si>
  <si>
    <t xml:space="preserve">Disposal Date </t>
  </si>
  <si>
    <t xml:space="preserve">Consideration </t>
  </si>
  <si>
    <t>912828-UQ-1</t>
  </si>
  <si>
    <t>SC</t>
  </si>
  <si>
    <t>592248-FU-7</t>
  </si>
  <si>
    <t>AEGON FUNDING CO LLC</t>
  </si>
  <si>
    <t>009363-AQ-5</t>
  </si>
  <si>
    <t>AMERICAN AIRLINES ETC</t>
  </si>
  <si>
    <t>Redemption      100.0000</t>
  </si>
  <si>
    <t>Taxable Exchange</t>
  </si>
  <si>
    <t>14314E-AG-6</t>
  </si>
  <si>
    <t>24703F-AE-6</t>
  </si>
  <si>
    <t>DCENT_18-A3</t>
  </si>
  <si>
    <t>EOG RESOURCES INC    2.450% 04/01/20</t>
  </si>
  <si>
    <t>GOLDMAN SACHS GROUP INC/THE GOLDMAN SACH</t>
  </si>
  <si>
    <t>459200-JF-9</t>
  </si>
  <si>
    <t>69144Y-AA-5</t>
  </si>
  <si>
    <t>82652X-AB-2</t>
  </si>
  <si>
    <t>UNIVERSAL HEALTH SERVICES INC</t>
  </si>
  <si>
    <t>549300YX8JIID70NFS41</t>
  </si>
  <si>
    <t>5493006VM2LKUPSEDU20</t>
  </si>
  <si>
    <t xml:space="preserve">Book/Adjusted Carrying Value at Disposal </t>
  </si>
  <si>
    <t>1000001</t>
  </si>
  <si>
    <t>14448C-AH-7</t>
  </si>
  <si>
    <t>Schedule D-Part 6-Section 1-Valuation of Shares of Subsidiary, Controlled or Affiliated Companies</t>
  </si>
  <si>
    <t>Subtotal - Preferred Stock - U.S. Health Entity</t>
  </si>
  <si>
    <t>1699999</t>
  </si>
  <si>
    <t xml:space="preserve">NAIC Designation Modifier </t>
  </si>
  <si>
    <t xml:space="preserve">Interest: Admitted Amount Due and Accrued </t>
  </si>
  <si>
    <t>912810-FT-0</t>
  </si>
  <si>
    <t>0100019</t>
  </si>
  <si>
    <t>1.A FE</t>
  </si>
  <si>
    <t>D</t>
  </si>
  <si>
    <t>0899999</t>
  </si>
  <si>
    <t>1099999</t>
  </si>
  <si>
    <t>1100002</t>
  </si>
  <si>
    <t>Subtotal - Bonds - U.S. States, Territories and Possessions - Issuer Obligations</t>
  </si>
  <si>
    <t>1400000</t>
  </si>
  <si>
    <t>@</t>
  </si>
  <si>
    <t>LONG BEACH CALIF UNI SCH DIST</t>
  </si>
  <si>
    <t>MUNI BND GO</t>
  </si>
  <si>
    <t>ARIZONA ST TRANSN BRD HWY REV</t>
  </si>
  <si>
    <t>2500017</t>
  </si>
  <si>
    <t>INDIANA ST FINANCE AUTHORITY</t>
  </si>
  <si>
    <t>KS</t>
  </si>
  <si>
    <t>2500028</t>
  </si>
  <si>
    <t>2500035</t>
  </si>
  <si>
    <t>832432-AL-2</t>
  </si>
  <si>
    <t>832432-AM-0</t>
  </si>
  <si>
    <t>2500039</t>
  </si>
  <si>
    <t>2500042</t>
  </si>
  <si>
    <t>TEXAS A &amp; M UNIVERSITY</t>
  </si>
  <si>
    <t>HQD377W2YR662HK5JX27</t>
  </si>
  <si>
    <t>PTVU09TE3QPJPL7K4E13</t>
  </si>
  <si>
    <t>02665W-DJ-7</t>
  </si>
  <si>
    <t>AMERICAN TOWER CORPORATION</t>
  </si>
  <si>
    <t>03073E-AL-9</t>
  </si>
  <si>
    <t>APPLE INC</t>
  </si>
  <si>
    <t>PL</t>
  </si>
  <si>
    <t>ATHENE GLOBAL FUNDING Series 144A</t>
  </si>
  <si>
    <t>BAXTER INTERNATIONAL INC. BAXTER INTERNA</t>
  </si>
  <si>
    <t>BAYER US FINANCE II LLC Series 144A</t>
  </si>
  <si>
    <t>BERRY GLOBAL ESCROW CORPORATIO</t>
  </si>
  <si>
    <t>BLACKROCK INC BLACKROCK INC</t>
  </si>
  <si>
    <t>5493009NTB34VXE1T760</t>
  </si>
  <si>
    <t>BROADCOM INC</t>
  </si>
  <si>
    <t>549300C1PQJLVEIUBK50</t>
  </si>
  <si>
    <t>12527G-AG-8</t>
  </si>
  <si>
    <t>141781-BG-8</t>
  </si>
  <si>
    <t>EDBQKYOPJUCJKLOJDE72</t>
  </si>
  <si>
    <t>15135B-AR-2</t>
  </si>
  <si>
    <t>166756-AL-0</t>
  </si>
  <si>
    <t>CITIZENS FINANCIAL GROUP INC</t>
  </si>
  <si>
    <t>51M0QTTNCGUN7KFCFZ59</t>
  </si>
  <si>
    <t>20034D-JA-8</t>
  </si>
  <si>
    <t>5493004YEHAF1WJ41765</t>
  </si>
  <si>
    <t>212015-AS-0</t>
  </si>
  <si>
    <t>DXC TECHNOLOGY CO</t>
  </si>
  <si>
    <t>EAST OHIO GAS CO</t>
  </si>
  <si>
    <t>EASTMAN CHEMICAL CO</t>
  </si>
  <si>
    <t>EQUITABLE FINANCIAL LIFE INSUR</t>
  </si>
  <si>
    <t>549300VFZ8XJ9NUPU221</t>
  </si>
  <si>
    <t>FOOTBALL CLUB TERM NOTES 2033 FOOTBALL C</t>
  </si>
  <si>
    <t>OCT</t>
  </si>
  <si>
    <t>37940X-AA-0</t>
  </si>
  <si>
    <t>GLOBAL PAYMENTS INC. GLOBAL PAYMENTS INC</t>
  </si>
  <si>
    <t>GRAPHIC PACKAGING HOLDING CO</t>
  </si>
  <si>
    <t>41242*-AW-2</t>
  </si>
  <si>
    <t>HARDWOOD FUNDING LLC/NATIONAL HARDWOOD F</t>
  </si>
  <si>
    <t>HERSHEY COMPANY THE</t>
  </si>
  <si>
    <t>42824C-BK-4</t>
  </si>
  <si>
    <t>HUBBELL INC</t>
  </si>
  <si>
    <t>457187-AB-8</t>
  </si>
  <si>
    <t>458140-BD-1</t>
  </si>
  <si>
    <t>469814-A*-8</t>
  </si>
  <si>
    <t>JACOBS ENGR GRP INC. JACOBS ENGINEERING</t>
  </si>
  <si>
    <t>489170-AC-4</t>
  </si>
  <si>
    <t>6CPEOKI6OYJ13Q6O7870</t>
  </si>
  <si>
    <t>LEIDOS INC</t>
  </si>
  <si>
    <t>55261F-AJ-3</t>
  </si>
  <si>
    <t>56585A-BA-9</t>
  </si>
  <si>
    <t>MASSMUTUAL GLOBAL FUNDING II Series 144A</t>
  </si>
  <si>
    <t>595112-BM-4</t>
  </si>
  <si>
    <t>617446-8J-1</t>
  </si>
  <si>
    <t>MOSAIC CO</t>
  </si>
  <si>
    <t>2YD5STGSJNMUB7H76907</t>
  </si>
  <si>
    <t>NATIONAL RURAL UTILITIES COOPE</t>
  </si>
  <si>
    <t>PNC BANK NATIONAL ASSOCIATION</t>
  </si>
  <si>
    <t>69353R-EY-0</t>
  </si>
  <si>
    <t>736508-P*-7</t>
  </si>
  <si>
    <t>741503-BB-1</t>
  </si>
  <si>
    <t>PRICEWATERHOUSECOOPERS LLP PRICEWATERHOU</t>
  </si>
  <si>
    <t>2572IBTT8CCZW6AU4141</t>
  </si>
  <si>
    <t>PUBLIC SERVICE ENTERPRISE GROU</t>
  </si>
  <si>
    <t>7591EP-AQ-3</t>
  </si>
  <si>
    <t>CW05CS5KW59QTC0DG824</t>
  </si>
  <si>
    <t>776743-AE-6</t>
  </si>
  <si>
    <t>SCHLUMBERGER HOLDINGS CORP</t>
  </si>
  <si>
    <t>Z15BMIOX8DDH0X2OBP21</t>
  </si>
  <si>
    <t>832248-AY-4</t>
  </si>
  <si>
    <t>84857L-A*-2</t>
  </si>
  <si>
    <t>89236T-HG-3</t>
  </si>
  <si>
    <t>US BANK NA/CINCINNATI OH</t>
  </si>
  <si>
    <t>PFIZER UPJOHN HONG KONG LIMITE</t>
  </si>
  <si>
    <t>GOXNEVUM0LL78B1OS344</t>
  </si>
  <si>
    <t>96949L-AD-7</t>
  </si>
  <si>
    <t>97670M-A#-3</t>
  </si>
  <si>
    <t>YAMANA GOLD INC</t>
  </si>
  <si>
    <t>C5793#-AM-5</t>
  </si>
  <si>
    <t>04965D-A@-5</t>
  </si>
  <si>
    <t>BACARDI LTD Series 144A</t>
  </si>
  <si>
    <t>44962L-AG-2</t>
  </si>
  <si>
    <t>KIMBERLY CLARK DE MEXICO SAB D Series 14</t>
  </si>
  <si>
    <t>SEAGATE HDD CAYMAN Series 144A</t>
  </si>
  <si>
    <t>83368R-AZ-5</t>
  </si>
  <si>
    <t>85771P-AG-7</t>
  </si>
  <si>
    <t>549300SZJ9VS8SGXAN81</t>
  </si>
  <si>
    <t>1.G PL</t>
  </si>
  <si>
    <t>D2736#-AN-9</t>
  </si>
  <si>
    <t>549300DEJZCPWA4HKM93</t>
  </si>
  <si>
    <t>549300PLYY6I10B6S323</t>
  </si>
  <si>
    <t>THAMES WTR UTILS</t>
  </si>
  <si>
    <t>LANDSVIRKJUN</t>
  </si>
  <si>
    <t>ALLY MASTER OWNER TRUST AMOT_1</t>
  </si>
  <si>
    <t>ARBYS FUNDING LLC ARBYS_20-1A</t>
  </si>
  <si>
    <t>05377R-DL-5</t>
  </si>
  <si>
    <t>05377R-DM-3</t>
  </si>
  <si>
    <t>CCG RECEIVABLES TRUST CCG_20-1</t>
  </si>
  <si>
    <t>CCG RECEIVABLES TRUST CCG_19-1 Series 14</t>
  </si>
  <si>
    <t>CARMAX AUTO OWNER TRUST CARMX_</t>
  </si>
  <si>
    <t>CITIBANK CREDIT CARD ISSUANCE</t>
  </si>
  <si>
    <t>DELL EQUIPMENT FINANCE TRUST D Series 14</t>
  </si>
  <si>
    <t>DPABS_17-1A</t>
  </si>
  <si>
    <t>25755T-AJ-9</t>
  </si>
  <si>
    <t>ENTERPRISE FLEET FINANCING LLC</t>
  </si>
  <si>
    <t>34528H-AC-8</t>
  </si>
  <si>
    <t>GMCAR_18-4</t>
  </si>
  <si>
    <t>39154T-BE-7</t>
  </si>
  <si>
    <t>55388P-AA-8</t>
  </si>
  <si>
    <t>55388P-AB-6</t>
  </si>
  <si>
    <t>55400D-AB-7</t>
  </si>
  <si>
    <t>63938P-BJ-7</t>
  </si>
  <si>
    <t>82653G-AB-8</t>
  </si>
  <si>
    <t>82653G-AC-6</t>
  </si>
  <si>
    <t>TAL ADVANTAGE LLC TAL_20-1A</t>
  </si>
  <si>
    <t>TESLA AUTO LEASE TRUST TESLA_2</t>
  </si>
  <si>
    <t>89656F-AA-4</t>
  </si>
  <si>
    <t>89680H-AB-8</t>
  </si>
  <si>
    <t>UNION PACIFIC RAILROAD CO 2015 UNION PAC</t>
  </si>
  <si>
    <t>VERIZON OWNER TRUST VZOT_ 20-C</t>
  </si>
  <si>
    <t>VERIZON OWNER TRUST VZOT_17-3A Series 14</t>
  </si>
  <si>
    <t>WENDYS FUNDING LLC WEN_18-1A</t>
  </si>
  <si>
    <t>3500200</t>
  </si>
  <si>
    <t>AIR CANADA Series 144A</t>
  </si>
  <si>
    <t>AIR CANADA 2015-1 CLASS A PASS SERIES 14</t>
  </si>
  <si>
    <t>TRILLIUM CREDIT CARD TRUST II Series 144</t>
  </si>
  <si>
    <t>CBAM CLO MANAGEMENT CBAM_18-6A</t>
  </si>
  <si>
    <t>CBAM CLO MANAGEMENT CBAM_19-11</t>
  </si>
  <si>
    <t>14316C-AG-8</t>
  </si>
  <si>
    <t>36320M-AL-2</t>
  </si>
  <si>
    <t>GOLDENTREE LOAN OPPORTUNITIES Series 144</t>
  </si>
  <si>
    <t>VENTR_19-37A Series 144A</t>
  </si>
  <si>
    <t>4300000</t>
  </si>
  <si>
    <t>Subtotal - Bonds - Affiliated Bank Loans - Issued</t>
  </si>
  <si>
    <t>Subtotal - Bonds - SVO Identified Funds - Exchange Traded Funds - as Identified by the SVO</t>
  </si>
  <si>
    <t>6099999</t>
  </si>
  <si>
    <t>6400000</t>
  </si>
  <si>
    <t>Total Bonds</t>
  </si>
  <si>
    <t>9599999</t>
  </si>
  <si>
    <t>P_2020_A_NAIC_SCDPT3</t>
  </si>
  <si>
    <t>1700002</t>
  </si>
  <si>
    <t>3100001</t>
  </si>
  <si>
    <t>3100005</t>
  </si>
  <si>
    <t>3100009</t>
  </si>
  <si>
    <t>3100012</t>
  </si>
  <si>
    <t>3100016</t>
  </si>
  <si>
    <t>3100023</t>
  </si>
  <si>
    <t>3100030</t>
  </si>
  <si>
    <t>3800002</t>
  </si>
  <si>
    <t>3800020</t>
  </si>
  <si>
    <t>3800100</t>
  </si>
  <si>
    <t>3800111</t>
  </si>
  <si>
    <t>KEYCORP    2.250% 04/06/27</t>
  </si>
  <si>
    <t>PEPSICO INC    2.625% 03/19/27</t>
  </si>
  <si>
    <t>3800202</t>
  </si>
  <si>
    <t>BPCE SA Series 144A    2.375% 01/14/25</t>
  </si>
  <si>
    <t>UBS WARBURG LLC</t>
  </si>
  <si>
    <t>Total - Bonds</t>
  </si>
  <si>
    <t>9300000</t>
  </si>
  <si>
    <t>Total - Common Stocks - Part 3</t>
  </si>
  <si>
    <t>0500003</t>
  </si>
  <si>
    <t>DESCHUTES &amp; JEFFERSON CNTYS OR</t>
  </si>
  <si>
    <t>KENTUCKY ASSETLIABILITY COMMI</t>
  </si>
  <si>
    <t>METROPOLITAN PIER &amp; EXPOSITION</t>
  </si>
  <si>
    <t>AXIS EQUIPMENT FINANCE RECEIVA</t>
  </si>
  <si>
    <t>KEIOKM01PSK5VZ5CCI74</t>
  </si>
  <si>
    <t>BB&amp;T CORP    2.625% 06/29/20</t>
  </si>
  <si>
    <t>Call      100.9917</t>
  </si>
  <si>
    <t>125634-AG-0</t>
  </si>
  <si>
    <t>15135B-AQ-4</t>
  </si>
  <si>
    <t>198280-AD-1</t>
  </si>
  <si>
    <t>233851-BR-4</t>
  </si>
  <si>
    <t>DISCOVER CARD EXECUTION NOTE T</t>
  </si>
  <si>
    <t>Call      100.8400</t>
  </si>
  <si>
    <t>KAYNE ANDERSON MLP INVESTMENT</t>
  </si>
  <si>
    <t>MVW OWNER TRUST MVWOT_13-1A</t>
  </si>
  <si>
    <t>VTBDOQJ6KOGQ6K786R46</t>
  </si>
  <si>
    <t>OXFORD FINANCE FUNDING TRUST O OXFORD FI</t>
  </si>
  <si>
    <t>Call      100.9080</t>
  </si>
  <si>
    <t>82652H-AA-9</t>
  </si>
  <si>
    <t>82652H-AB-7</t>
  </si>
  <si>
    <t>83379#-AC-9</t>
  </si>
  <si>
    <t>SYSCO CORPORATION    2.600% 10/01/20</t>
  </si>
  <si>
    <t>UNITED AIRLINES 2016-2 CLASS A UNITED AI</t>
  </si>
  <si>
    <t>UNITED AIRLINES 2016-2 CLASS B</t>
  </si>
  <si>
    <t>UNITED TECHNOLOGIES UNITED TECHNOLOGIES</t>
  </si>
  <si>
    <t>UNITED TECHNOLOGIES CORPORATIO</t>
  </si>
  <si>
    <t>94106L-BH-1</t>
  </si>
  <si>
    <t>CAL FUNDING II LTD CAI_17-1A Series 144A</t>
  </si>
  <si>
    <t>12805P-AG-1</t>
  </si>
  <si>
    <t>LATAM AIR 2015-1 PTT A</t>
  </si>
  <si>
    <t>Call      113.8287</t>
  </si>
  <si>
    <t>Call      103.9380</t>
  </si>
  <si>
    <t>ANNUAL STATEMENT FOR THE YEAR 2020 OF THE GENWORTH MORTGAGE INSURANCE CORPORATION</t>
  </si>
  <si>
    <t xml:space="preserve">NAIC Designation </t>
  </si>
  <si>
    <t xml:space="preserve">Current Year's (Amortization)/Accretion </t>
  </si>
  <si>
    <t xml:space="preserve">Interest: Rate of </t>
  </si>
  <si>
    <t xml:space="preserve">Date Acquired </t>
  </si>
  <si>
    <t xml:space="preserve">ISIN Identification </t>
  </si>
  <si>
    <t xml:space="preserve">Print - NAIC Designation, NAIC Designation Modifier and SVO Administrative Symbol </t>
  </si>
  <si>
    <t>US TREASURY TREASURY BOND</t>
  </si>
  <si>
    <t>1.A</t>
  </si>
  <si>
    <t>US TREASURY TREASURY NOTE</t>
  </si>
  <si>
    <t>0299999</t>
  </si>
  <si>
    <t>MASSACHUSETTS ST</t>
  </si>
  <si>
    <t>1100006</t>
  </si>
  <si>
    <t>JERSEY CITY N J</t>
  </si>
  <si>
    <t>1800003</t>
  </si>
  <si>
    <t>1800010</t>
  </si>
  <si>
    <t>COMMONWEALTH FING AUTH PA</t>
  </si>
  <si>
    <t>451913-AJ-6</t>
  </si>
  <si>
    <t>798153-NF-5</t>
  </si>
  <si>
    <t>SAN JOSE CALIF FING AUTH</t>
  </si>
  <si>
    <t>798153-NG-3</t>
  </si>
  <si>
    <t>798153-NH-1</t>
  </si>
  <si>
    <t>TAMPA-HILLSBOROUGH CNTY FLA EX</t>
  </si>
  <si>
    <t>2700000</t>
  </si>
  <si>
    <t>3199999</t>
  </si>
  <si>
    <t>3200002</t>
  </si>
  <si>
    <t>001055-AP-7</t>
  </si>
  <si>
    <t>00138C-AC-2</t>
  </si>
  <si>
    <t>3200006</t>
  </si>
  <si>
    <t>3200013</t>
  </si>
  <si>
    <t>009158-AY-2</t>
  </si>
  <si>
    <t>ZXTILKJKG63JELOEG630</t>
  </si>
  <si>
    <t>3200020</t>
  </si>
  <si>
    <t>3200024</t>
  </si>
  <si>
    <t>3200031</t>
  </si>
  <si>
    <t>ARTHUR J GALLAGHER &amp; CO</t>
  </si>
  <si>
    <t>ASHLAND INC</t>
  </si>
  <si>
    <t>04685A-2J-9</t>
  </si>
  <si>
    <t>05552J-AA-7</t>
  </si>
  <si>
    <t>BANK OF NEW YORK MELLON CORP/T</t>
  </si>
  <si>
    <t>11135F-AZ-4</t>
  </si>
  <si>
    <t>CBS CORP</t>
  </si>
  <si>
    <t>CF INDUSTRIES INC</t>
  </si>
  <si>
    <t>125523-AG-5</t>
  </si>
  <si>
    <t>CAPITAL ONE FINANCIAL CORP</t>
  </si>
  <si>
    <t>3200100</t>
  </si>
  <si>
    <t>3200104</t>
  </si>
  <si>
    <t>CARGILL INC Series 144A</t>
  </si>
  <si>
    <t>CARGILL INC</t>
  </si>
  <si>
    <t>15089Q-AJ-3</t>
  </si>
  <si>
    <t>3200111</t>
  </si>
  <si>
    <t>CENTERPOINT ENERGY INC</t>
  </si>
  <si>
    <t>3200115</t>
  </si>
  <si>
    <t>16829@-AD-5</t>
  </si>
  <si>
    <t>16829@-AE-3</t>
  </si>
  <si>
    <t>3200122</t>
  </si>
  <si>
    <t>CLEARBRIDGE ENERGY MLP OPPORTU CLEARBRID</t>
  </si>
  <si>
    <t>COCA-COLA COMPANY THE</t>
  </si>
  <si>
    <t>CONCHO RESOURCES INC</t>
  </si>
  <si>
    <t>3200140</t>
  </si>
  <si>
    <t>CONTINENTAL RESOURCES INC.</t>
  </si>
  <si>
    <t>254687-FK-7</t>
  </si>
  <si>
    <t>256746-AG-3</t>
  </si>
  <si>
    <t>EASTMAN CHEMICAL COMPANY EASTMAN CHEMICA</t>
  </si>
  <si>
    <t>EASTMAN CHEMICAL COMPANY</t>
  </si>
  <si>
    <t>0NZWDMRCE180888QQE14</t>
  </si>
  <si>
    <t>29444U-BG-0</t>
  </si>
  <si>
    <t>31677Q-BM-0</t>
  </si>
  <si>
    <t>FIRSTCASH INC</t>
  </si>
  <si>
    <t>345397-A4-5</t>
  </si>
  <si>
    <t>3200202</t>
  </si>
  <si>
    <t>3200206</t>
  </si>
  <si>
    <t>GENERAL DYNAMICS CORPORATION</t>
  </si>
  <si>
    <t>3200213</t>
  </si>
  <si>
    <t>375558-BL-6</t>
  </si>
  <si>
    <t>GLAXOSK CAP INC</t>
  </si>
  <si>
    <t>549300NOMHGVQBX6S778</t>
  </si>
  <si>
    <t>3200220</t>
  </si>
  <si>
    <t>40139L-AH-6</t>
  </si>
  <si>
    <t>3200231</t>
  </si>
  <si>
    <t>444859-BD-3</t>
  </si>
  <si>
    <t>458140-AR-1</t>
  </si>
  <si>
    <t>LINCOLN NATIONAL CORPORATION</t>
  </si>
  <si>
    <t>DPRBOZP0K5RM2YE8UU08</t>
  </si>
  <si>
    <t>565849-AL-0</t>
  </si>
  <si>
    <t>MARATHON OIL CORP</t>
  </si>
  <si>
    <t>1FRVQX2CRLGC1XLP5727</t>
  </si>
  <si>
    <t>571748-BF-8</t>
  </si>
  <si>
    <t>3200300</t>
  </si>
  <si>
    <t>3200304</t>
  </si>
  <si>
    <t>54930073LBBH6ZCBE225</t>
  </si>
  <si>
    <t>3200311</t>
  </si>
  <si>
    <t>3200315</t>
  </si>
  <si>
    <t>NATIONAL BASKETBALL ASSOCIATIO NATIONAL</t>
  </si>
  <si>
    <t>NATIONAL FUEL GAS CO</t>
  </si>
  <si>
    <t>3200322</t>
  </si>
  <si>
    <t>3200340</t>
  </si>
  <si>
    <t>670346-AR-6</t>
  </si>
  <si>
    <t>NUCOR CORPORATION</t>
  </si>
  <si>
    <t>BOOKING HOLDINGS INC</t>
  </si>
  <si>
    <t>747525-AT-0</t>
  </si>
  <si>
    <t>RELIANCE STEEL &amp; ALUMINUM CO</t>
  </si>
  <si>
    <t>RESMED INC</t>
  </si>
  <si>
    <t>CHARLES SCHWAB CORPORATION (TH</t>
  </si>
  <si>
    <t>3200402</t>
  </si>
  <si>
    <t>3200406</t>
  </si>
  <si>
    <t>STEEL DYNAMICS INC</t>
  </si>
  <si>
    <t>3200413</t>
  </si>
  <si>
    <t>87236Y-AE-8</t>
  </si>
  <si>
    <t>TD AMERITRADE HOLDING CORP</t>
  </si>
  <si>
    <t>3200420</t>
  </si>
  <si>
    <t>89236T-DW-2</t>
  </si>
  <si>
    <t>3200431</t>
  </si>
  <si>
    <t>VF CORPORATION</t>
  </si>
  <si>
    <t>CWAJJ9DJ5Z7P057HV541</t>
  </si>
  <si>
    <t>92826C-AL-6</t>
  </si>
  <si>
    <t>549300T065Z4KJ686G75</t>
  </si>
  <si>
    <t>WASTE CONNECTIONS INC</t>
  </si>
  <si>
    <t>95000U-2K-8</t>
  </si>
  <si>
    <t>960386-AN-0</t>
  </si>
  <si>
    <t>WESTLAKE CHEMICAL CORP</t>
  </si>
  <si>
    <t>97786#-AN-2</t>
  </si>
  <si>
    <t>CANADIAN IMPERIAL BANK OF COMM</t>
  </si>
  <si>
    <t>NUTRIEN LTD</t>
  </si>
  <si>
    <t>98462Y-C*-9</t>
  </si>
  <si>
    <t>3200500</t>
  </si>
  <si>
    <t>3200504</t>
  </si>
  <si>
    <t>ALIBABA GROUP HOLDING LTD</t>
  </si>
  <si>
    <t>635400ZRKEX9L1BKCH30</t>
  </si>
  <si>
    <t>3200511</t>
  </si>
  <si>
    <t>05583J-AH-5</t>
  </si>
  <si>
    <t>CK HUTCHISON INTERNATIONAL (17</t>
  </si>
  <si>
    <t>3200522</t>
  </si>
  <si>
    <t>EDP FINANCE BV</t>
  </si>
  <si>
    <t>3200540</t>
  </si>
  <si>
    <t>KIMBERLY-CLARK DE MEXICO  S.A.</t>
  </si>
  <si>
    <t>8DF36O58U3QIHUCGZB18</t>
  </si>
  <si>
    <t>MIZUHO FINANCIAL GROUP INC</t>
  </si>
  <si>
    <t>81180W-BA-8</t>
  </si>
  <si>
    <t>SHIRE ACQUISITIONS INVESTMENTS</t>
  </si>
  <si>
    <t>86562M-BV-1</t>
  </si>
  <si>
    <t>874060-AT-3</t>
  </si>
  <si>
    <t>549300ZLMVP4X0OGR454</t>
  </si>
  <si>
    <t>ICON INVESTMENTS FIVE UNLIMITE ICON INVE</t>
  </si>
  <si>
    <t>JOHN WOOD GROUP PLC</t>
  </si>
  <si>
    <t>3.A PL</t>
  </si>
  <si>
    <t>3500004</t>
  </si>
  <si>
    <t>3500008</t>
  </si>
  <si>
    <t>05377R-CZ-5</t>
  </si>
  <si>
    <t>3500011</t>
  </si>
  <si>
    <t>3500015</t>
  </si>
  <si>
    <t>CCG RECEIVABLES TRUST CCG_18-1</t>
  </si>
  <si>
    <t>3500022</t>
  </si>
  <si>
    <t>12510F-AC-8</t>
  </si>
  <si>
    <t>12510F-AD-6</t>
  </si>
  <si>
    <t>3500026</t>
  </si>
  <si>
    <t>CLI FUNDING LLC CLIF_19-1A</t>
  </si>
  <si>
    <t>3500033</t>
  </si>
  <si>
    <t>14687A-AP-3</t>
  </si>
  <si>
    <t>14687A-AQ-1</t>
  </si>
  <si>
    <t>3500040</t>
  </si>
  <si>
    <t>3500051</t>
  </si>
  <si>
    <t>233046-AJ-0</t>
  </si>
  <si>
    <t>DRIVEN BRANDS FUNDING LLC HONK</t>
  </si>
  <si>
    <t>34533Y-AG-5</t>
  </si>
  <si>
    <t>GM FINANCIAL SECURITIZED TERM GM FINANCI</t>
  </si>
  <si>
    <t>36256G-AG-4</t>
  </si>
  <si>
    <t>362590-AD-3</t>
  </si>
  <si>
    <t>36259P-AH-9</t>
  </si>
  <si>
    <t>3500102</t>
  </si>
  <si>
    <t>39154T-AZ-1</t>
  </si>
  <si>
    <t>3500106</t>
  </si>
  <si>
    <t>3500113</t>
  </si>
  <si>
    <t>3500117</t>
  </si>
  <si>
    <t>3500120</t>
  </si>
  <si>
    <t>3500124</t>
  </si>
  <si>
    <t>MMAF EQUIPMENT FINANCE LLC MMA Series 14</t>
  </si>
  <si>
    <t>3500131</t>
  </si>
  <si>
    <t>55400D-AA-9</t>
  </si>
  <si>
    <t>3500135</t>
  </si>
  <si>
    <t>3500142</t>
  </si>
  <si>
    <t>62946A-AC-8</t>
  </si>
  <si>
    <t>3500160</t>
  </si>
  <si>
    <t>82653E-AB-3</t>
  </si>
  <si>
    <t>82653E-AC-1</t>
  </si>
  <si>
    <t>88167H-AG-1</t>
  </si>
  <si>
    <t>88315L-AE-8</t>
  </si>
  <si>
    <t>TEXTAINER MARINE CONTAINERS LT</t>
  </si>
  <si>
    <t>TRITON CONTAINER FINANCE LLC T</t>
  </si>
  <si>
    <t>VERIZON OWNER TRUST VZOT_19-A</t>
  </si>
  <si>
    <t>WENDYS FUNDING LLC WEN_18-1A Series 144A</t>
  </si>
  <si>
    <t>WORLD OMNI AUTOMOBILE LEASE SE</t>
  </si>
  <si>
    <t>3500204</t>
  </si>
  <si>
    <t>3500208</t>
  </si>
  <si>
    <t>Deutsche Bank</t>
  </si>
  <si>
    <t>3500211</t>
  </si>
  <si>
    <t>BLACKBIRD CAPITAL AIRCRAFT BBI Series 14</t>
  </si>
  <si>
    <t>3500215</t>
  </si>
  <si>
    <t>CBAM CLO MANAGEMENT CBAM_19-11 Series 14</t>
  </si>
  <si>
    <t>CARLYLE GLOBAL MARKET STRATEGI Series 14</t>
  </si>
  <si>
    <t>17180T-AQ-5</t>
  </si>
  <si>
    <t>3500222</t>
  </si>
  <si>
    <t>3500226</t>
  </si>
  <si>
    <t>3500233</t>
  </si>
  <si>
    <t>3500240</t>
  </si>
  <si>
    <t>Subtotal - Bonds - Hybrid Securities - Residential Mortgage-Backed Securities</t>
  </si>
  <si>
    <t>5299999</t>
  </si>
  <si>
    <t>5899999</t>
  </si>
  <si>
    <t>7999999</t>
  </si>
  <si>
    <t>8199999</t>
  </si>
  <si>
    <t>3100027</t>
  </si>
  <si>
    <t>3800006</t>
  </si>
  <si>
    <t>3800013</t>
  </si>
  <si>
    <t>3800017</t>
  </si>
  <si>
    <t>3800024</t>
  </si>
  <si>
    <t>3800028</t>
  </si>
  <si>
    <t>3800031</t>
  </si>
  <si>
    <t>3800035</t>
  </si>
  <si>
    <t>3800042</t>
  </si>
  <si>
    <t>3800046</t>
  </si>
  <si>
    <t>3800053</t>
  </si>
  <si>
    <t>3800060</t>
  </si>
  <si>
    <t>3800071</t>
  </si>
  <si>
    <t>3800104</t>
  </si>
  <si>
    <t>TORONTO DOMINION</t>
  </si>
  <si>
    <t>3800108</t>
  </si>
  <si>
    <t>3800115</t>
  </si>
  <si>
    <t>3800119</t>
  </si>
  <si>
    <t>3800122</t>
  </si>
  <si>
    <t>3800126</t>
  </si>
  <si>
    <t>JRD HOLDINGS LLC    2.300% 11/18/27</t>
  </si>
  <si>
    <t>3800133</t>
  </si>
  <si>
    <t>3800137</t>
  </si>
  <si>
    <t>3800140</t>
  </si>
  <si>
    <t>3800144</t>
  </si>
  <si>
    <t>3800151</t>
  </si>
  <si>
    <t>3800162</t>
  </si>
  <si>
    <t>RYDER SYSTEM INC    2.900% 12/01/26</t>
  </si>
  <si>
    <t>3800180</t>
  </si>
  <si>
    <t>3800206</t>
  </si>
  <si>
    <t>3800213</t>
  </si>
  <si>
    <t>3800217</t>
  </si>
  <si>
    <t>3800220</t>
  </si>
  <si>
    <t>3800224</t>
  </si>
  <si>
    <t>3800228</t>
  </si>
  <si>
    <t>3800231</t>
  </si>
  <si>
    <t>3800235</t>
  </si>
  <si>
    <t>3800242</t>
  </si>
  <si>
    <t>3800253</t>
  </si>
  <si>
    <t>3800260</t>
  </si>
  <si>
    <t>3800271</t>
  </si>
  <si>
    <t>8500000</t>
  </si>
  <si>
    <t>8799999</t>
  </si>
  <si>
    <t xml:space="preserve">Prior Year Book/Adjusted Carrying Value </t>
  </si>
  <si>
    <t xml:space="preserve">Book/Adjusted Carrying Value at Disposal Date </t>
  </si>
  <si>
    <t>574300-HY-8</t>
  </si>
  <si>
    <t>MARYLAND ST TRANSN AUTH</t>
  </si>
  <si>
    <t>Paydown</t>
  </si>
  <si>
    <t>ROBERT BAIRD &amp; COMPANY</t>
  </si>
  <si>
    <t>SQOAGCLKBDWNVYV1OV80</t>
  </si>
  <si>
    <t>120568-AW-0</t>
  </si>
  <si>
    <t>12594D-AF-5</t>
  </si>
  <si>
    <t>14315P-AG-0</t>
  </si>
  <si>
    <t>CHAIT_18-1</t>
  </si>
  <si>
    <t>GANNETT CO INC    4.875% 09/15/21</t>
  </si>
  <si>
    <t>HARLEY-DAVIDSON MOTORCYCLE TRU</t>
  </si>
  <si>
    <t>461070-AJ-3</t>
  </si>
  <si>
    <t>INTERSTATE POWER &amp; LIGHT CO INTERSTATE P</t>
  </si>
  <si>
    <t>INTERSTATE POWER &amp; LIGHT CO</t>
  </si>
  <si>
    <t>Call      105.7749</t>
  </si>
  <si>
    <t>LTRAN_15-1A    2.980% 01/15/45</t>
  </si>
  <si>
    <t>553893-AA-6</t>
  </si>
  <si>
    <t>MVW OWNER TRUST MVWOT_13-1A Series 144A</t>
  </si>
  <si>
    <t>WELLCARE HEALTH PLANS INC</t>
  </si>
  <si>
    <t>98162W-AG-2</t>
  </si>
  <si>
    <t>CAL FUNDING II LTD CAI_17-1A</t>
  </si>
  <si>
    <t>51817T-AB-8</t>
  </si>
  <si>
    <t xml:space="preserve">Cusip Identification </t>
  </si>
  <si>
    <t xml:space="preserve">ID Number </t>
  </si>
  <si>
    <t>0600000</t>
  </si>
  <si>
    <t>Subtotal - Preferred Stock - Investment Sub</t>
  </si>
  <si>
    <t>Total Preferred Stocks</t>
  </si>
  <si>
    <t>8BIV</t>
  </si>
  <si>
    <t xml:space="preserve">Current Year's Other-Than-Temporary Impairment Recognized </t>
  </si>
  <si>
    <t>-</t>
  </si>
  <si>
    <t>0100001</t>
  </si>
  <si>
    <t>1</t>
  </si>
  <si>
    <t>EXPORT-IMPORT BANK OF KOREA</t>
  </si>
  <si>
    <t>HI</t>
  </si>
  <si>
    <t>OXNARD CALIF SCH DIST</t>
  </si>
  <si>
    <t>1800007</t>
  </si>
  <si>
    <t>POWAY CALIF UNI SCH DIST</t>
  </si>
  <si>
    <t>1900000</t>
  </si>
  <si>
    <t>2100000</t>
  </si>
  <si>
    <t>AUBURN UNIVERSITY</t>
  </si>
  <si>
    <t>COMMONWEALTH FING AUTH PA COMMONWEALTH F</t>
  </si>
  <si>
    <t>TX</t>
  </si>
  <si>
    <t>INDIANA ST FIN AUTH REV</t>
  </si>
  <si>
    <t>LA</t>
  </si>
  <si>
    <t>64971W-F5-4</t>
  </si>
  <si>
    <t>NEW YORK ST DORM AUTH ST PERS</t>
  </si>
  <si>
    <t>88213A-HL-2</t>
  </si>
  <si>
    <t>97705M-QN-8</t>
  </si>
  <si>
    <t>Subtotal - Bonds - U.S. Special Revenues - Residential Mortgage-Backed Securities</t>
  </si>
  <si>
    <t>CZCBJZWDMLTHWJDXU843</t>
  </si>
  <si>
    <t>MWKQ3I0U1GXP2YDSZW75</t>
  </si>
  <si>
    <t>AMAZON.COM INC</t>
  </si>
  <si>
    <t>3200017</t>
  </si>
  <si>
    <t>025816-CF-4</t>
  </si>
  <si>
    <t>AMERISOURCEBERGEN CORP</t>
  </si>
  <si>
    <t>3200028</t>
  </si>
  <si>
    <t>03076C-AH-9</t>
  </si>
  <si>
    <t>6ZLKQF7QB6JAEKQS5388</t>
  </si>
  <si>
    <t>031162-CT-5</t>
  </si>
  <si>
    <t>3200035</t>
  </si>
  <si>
    <t>037833-CG-3</t>
  </si>
  <si>
    <t>039483-BL-5</t>
  </si>
  <si>
    <t>ARROW ELECTRONICS INC</t>
  </si>
  <si>
    <t>3200039</t>
  </si>
  <si>
    <t>2D</t>
  </si>
  <si>
    <t>3200042</t>
  </si>
  <si>
    <t>3200046</t>
  </si>
  <si>
    <t>05531F-BE-2</t>
  </si>
  <si>
    <t>3200053</t>
  </si>
  <si>
    <t>3200057</t>
  </si>
  <si>
    <t>07274N-AJ-2</t>
  </si>
  <si>
    <t>3200060</t>
  </si>
  <si>
    <t>BECTON DICKINSON AND COMPANY</t>
  </si>
  <si>
    <t>BECTON DICKINSON &amp; CO</t>
  </si>
  <si>
    <t>BERRY GLOBAL INC Series 144A</t>
  </si>
  <si>
    <t>3200064</t>
  </si>
  <si>
    <t>W8J5WZB5IY3K0NDQT671</t>
  </si>
  <si>
    <t>09247X-AJ-0</t>
  </si>
  <si>
    <t>101137-AW-7</t>
  </si>
  <si>
    <t>3200071</t>
  </si>
  <si>
    <t>3200075</t>
  </si>
  <si>
    <t>3200082</t>
  </si>
  <si>
    <t>3200093</t>
  </si>
  <si>
    <t>CSLB HOLDINGS INC</t>
  </si>
  <si>
    <t>12656*-AQ-5</t>
  </si>
  <si>
    <t>CAPITAL ONE NA/MCLEAN VA</t>
  </si>
  <si>
    <t>14913Q-2L-2</t>
  </si>
  <si>
    <t>3200108</t>
  </si>
  <si>
    <t>CENTENE CORP</t>
  </si>
  <si>
    <t>15189T-AW-7</t>
  </si>
  <si>
    <t>3200119</t>
  </si>
  <si>
    <t>3200126</t>
  </si>
  <si>
    <t>CITIZENS FINANCIAL GROUP INC CITIZENS FI</t>
  </si>
  <si>
    <t>3200133</t>
  </si>
  <si>
    <t>3200137</t>
  </si>
  <si>
    <t>3200144</t>
  </si>
  <si>
    <t>233331-AW-7</t>
  </si>
  <si>
    <t>DTE ENERGY CO</t>
  </si>
  <si>
    <t>3200148</t>
  </si>
  <si>
    <t>0O4KBQCJZX82UKGCBV73</t>
  </si>
  <si>
    <t>3200151</t>
  </si>
  <si>
    <t>3200155</t>
  </si>
  <si>
    <t>3200162</t>
  </si>
  <si>
    <t>3200166</t>
  </si>
  <si>
    <t>FDPVHDGJ1IQZFK9KH630</t>
  </si>
  <si>
    <t>3200173</t>
  </si>
  <si>
    <t>29278N-AH-6</t>
  </si>
  <si>
    <t>ENERGY TRANSFER OPERATING LP</t>
  </si>
  <si>
    <t>3200180</t>
  </si>
  <si>
    <t>EQUINIX INC</t>
  </si>
  <si>
    <t>29449W-AA-5</t>
  </si>
  <si>
    <t>EQUITABLE FINANCIAL LIFE INSUR Series 14</t>
  </si>
  <si>
    <t>3200184</t>
  </si>
  <si>
    <t>3200191</t>
  </si>
  <si>
    <t>337738-BB-3</t>
  </si>
  <si>
    <t>FL GAS TSMN CO</t>
  </si>
  <si>
    <t>343498-AA-9</t>
  </si>
  <si>
    <t>FLOWERS FOODS INC</t>
  </si>
  <si>
    <t>34490@-AC-8</t>
  </si>
  <si>
    <t>35137L-AG-0</t>
  </si>
  <si>
    <t>GENERAL DYNAMICS CORP GENERAL DYNAMICS C</t>
  </si>
  <si>
    <t>L2EVHWFHVAQK72TMH265</t>
  </si>
  <si>
    <t>GLAXOSMITHKLINE CAPITAL INC</t>
  </si>
  <si>
    <t>GLOBAL PAYMENTS INC.</t>
  </si>
  <si>
    <t>3200217</t>
  </si>
  <si>
    <t>3200224</t>
  </si>
  <si>
    <t>3200228</t>
  </si>
  <si>
    <t>427866-AZ-1</t>
  </si>
  <si>
    <t>549300BX44RGX6ANDV88</t>
  </si>
  <si>
    <t>444859-BA-9</t>
  </si>
  <si>
    <t>3200235</t>
  </si>
  <si>
    <t>PKSTQ48QDN0XSVS7YK88</t>
  </si>
  <si>
    <t>3200239</t>
  </si>
  <si>
    <t>3200242</t>
  </si>
  <si>
    <t>45866F-AG-9</t>
  </si>
  <si>
    <t>3200246</t>
  </si>
  <si>
    <t>JABIL CIRCUIT INC JABIL CIRCUIT INC</t>
  </si>
  <si>
    <t>2.C</t>
  </si>
  <si>
    <t>3200253</t>
  </si>
  <si>
    <t>3200257</t>
  </si>
  <si>
    <t>49326E-EK-5</t>
  </si>
  <si>
    <t>3200260</t>
  </si>
  <si>
    <t>HEINZ HJ CO</t>
  </si>
  <si>
    <t>KROGER CO</t>
  </si>
  <si>
    <t>3200264</t>
  </si>
  <si>
    <t>LEVI STRAUSS &amp; CO</t>
  </si>
  <si>
    <t>3200271</t>
  </si>
  <si>
    <t>3200275</t>
  </si>
  <si>
    <t>M&amp;T BANK CORPORATION</t>
  </si>
  <si>
    <t>2.C PL</t>
  </si>
  <si>
    <t>3200282</t>
  </si>
  <si>
    <t>573284-AQ-9</t>
  </si>
  <si>
    <t>AR5L2ODV9HN37376R084</t>
  </si>
  <si>
    <t>549300JQQA6MQ4OJP259</t>
  </si>
  <si>
    <t>MCKESSON CORP</t>
  </si>
  <si>
    <t>1.E PL</t>
  </si>
  <si>
    <t>MICRON TECHNOLOGY INC</t>
  </si>
  <si>
    <t>59833C-AA-0</t>
  </si>
  <si>
    <t>3200308</t>
  </si>
  <si>
    <t>61746B-DQ-6</t>
  </si>
  <si>
    <t>3200319</t>
  </si>
  <si>
    <t>63486*-AA-9</t>
  </si>
  <si>
    <t>NATIONAL FUEL GAS COMPANY NATIONAL FUEL</t>
  </si>
  <si>
    <t>63636#-AA-4</t>
  </si>
  <si>
    <t>3200326</t>
  </si>
  <si>
    <t>3200333</t>
  </si>
  <si>
    <t>(MINNESOTA)</t>
  </si>
  <si>
    <t>3200337</t>
  </si>
  <si>
    <t>NUCOR CORP</t>
  </si>
  <si>
    <t>3200344</t>
  </si>
  <si>
    <t>693475-AX-3</t>
  </si>
  <si>
    <t>PNC FINANCIAL SERVICES GROUP I</t>
  </si>
  <si>
    <t>3200348</t>
  </si>
  <si>
    <t>693656-AC-4</t>
  </si>
  <si>
    <t>3200351</t>
  </si>
  <si>
    <t>3200355</t>
  </si>
  <si>
    <t>723787-AK-3</t>
  </si>
  <si>
    <t>PIONEER NATURAL RESOURCES CO</t>
  </si>
  <si>
    <t>3200362</t>
  </si>
  <si>
    <t>3200366</t>
  </si>
  <si>
    <t>3200373</t>
  </si>
  <si>
    <t>QUALCOMM INCORPORATED</t>
  </si>
  <si>
    <t>549300TJCKW4BRXPJ474</t>
  </si>
  <si>
    <t>3200380</t>
  </si>
  <si>
    <t>ROPER IND INC</t>
  </si>
  <si>
    <t>3200391</t>
  </si>
  <si>
    <t>549300DJYWYT5VXLFA46</t>
  </si>
  <si>
    <t>SOUTH JERSEY IND INC</t>
  </si>
  <si>
    <t>SOUTH JERSEY INDUSTRIES INC</t>
  </si>
  <si>
    <t>549300HGGKEL4FYTTQ83</t>
  </si>
  <si>
    <t>86944B-AG-8</t>
  </si>
  <si>
    <t>871829-AQ-0</t>
  </si>
  <si>
    <t>SYSCO CORPORATION</t>
  </si>
  <si>
    <t>3200417</t>
  </si>
  <si>
    <t>87612B-BR-2</t>
  </si>
  <si>
    <t>3200424</t>
  </si>
  <si>
    <t>88579Y-BB-6</t>
  </si>
  <si>
    <t>3200428</t>
  </si>
  <si>
    <t>3200435</t>
  </si>
  <si>
    <t>3200439</t>
  </si>
  <si>
    <t>3200442</t>
  </si>
  <si>
    <t>D01LMJZU09ULLNCY6Z23</t>
  </si>
  <si>
    <t>3200446</t>
  </si>
  <si>
    <t>91533B-AC-4</t>
  </si>
  <si>
    <t>VALERO ENERGY CORP VALERO ENERGY CORPORA</t>
  </si>
  <si>
    <t>3200453</t>
  </si>
  <si>
    <t>3200457</t>
  </si>
  <si>
    <t>3200460</t>
  </si>
  <si>
    <t>3200464</t>
  </si>
  <si>
    <t>06BTX5UWZD0GQ5N5Y745</t>
  </si>
  <si>
    <t>WESTINGHOUSE AIR BRAKE TECHNOL WESTINGHO</t>
  </si>
  <si>
    <t>3200471</t>
  </si>
  <si>
    <t>3200482</t>
  </si>
  <si>
    <t>YAMANA GOLD</t>
  </si>
  <si>
    <t>3200508</t>
  </si>
  <si>
    <t>05583J-AG-7</t>
  </si>
  <si>
    <t>3200515</t>
  </si>
  <si>
    <t>549300R32WTQNHNN5055</t>
  </si>
  <si>
    <t>3200519</t>
  </si>
  <si>
    <t>09659W-2J-2</t>
  </si>
  <si>
    <t>12563X-AB-7</t>
  </si>
  <si>
    <t>CLEANAWAY WASTE MANAGEMENT LTD</t>
  </si>
  <si>
    <t>CREDIT AGRICOLE CORPORATE AND</t>
  </si>
  <si>
    <t>3200526</t>
  </si>
  <si>
    <t>3200533</t>
  </si>
  <si>
    <t>HUTCHISON WHAMPOA FIN CI LTD</t>
  </si>
  <si>
    <t>144A</t>
  </si>
  <si>
    <t>3200537</t>
  </si>
  <si>
    <t>3200544</t>
  </si>
  <si>
    <t>494386-AC-9</t>
  </si>
  <si>
    <t>3200548</t>
  </si>
  <si>
    <t>3200551</t>
  </si>
  <si>
    <t>NXP BV/NXP FUNDING LLC/NXP USA</t>
  </si>
  <si>
    <t>3200555</t>
  </si>
  <si>
    <t>3200562</t>
  </si>
  <si>
    <t>3200566</t>
  </si>
  <si>
    <t>3200573</t>
  </si>
  <si>
    <t>92857W-BJ-8</t>
  </si>
  <si>
    <t>213800TB53ELEUKM7Q61</t>
  </si>
  <si>
    <t>3200580</t>
  </si>
  <si>
    <t>G6363#-AL-1</t>
  </si>
  <si>
    <t>G7304*-AD-3</t>
  </si>
  <si>
    <t>3200591</t>
  </si>
  <si>
    <t>Q3393*-AK-7</t>
  </si>
  <si>
    <t>Z ENERGY LTD</t>
  </si>
  <si>
    <t>X5151*-AE-0</t>
  </si>
  <si>
    <t>549300R4HW4HQYM9LE23</t>
  </si>
  <si>
    <t>12508V-AC-7</t>
  </si>
  <si>
    <t>12508V-AD-5</t>
  </si>
  <si>
    <t>3500019</t>
  </si>
  <si>
    <t>14314X-AF-6</t>
  </si>
  <si>
    <t>3500037</t>
  </si>
  <si>
    <t>165183-BL-7</t>
  </si>
  <si>
    <t>3500044</t>
  </si>
  <si>
    <t>3500048</t>
  </si>
  <si>
    <t>3500055</t>
  </si>
  <si>
    <t>3500059</t>
  </si>
  <si>
    <t>24704A-AF-3</t>
  </si>
  <si>
    <t>24704A-AG-1</t>
  </si>
  <si>
    <t>3500062</t>
  </si>
  <si>
    <t>DELL EQUIPMENT FINANCE TRUST D DELL EQUI</t>
  </si>
  <si>
    <t>3500066</t>
  </si>
  <si>
    <t>DOMINOS PIZZA MASTER ISSUER LL</t>
  </si>
  <si>
    <t>3500073</t>
  </si>
  <si>
    <t>3500077</t>
  </si>
  <si>
    <t>3500080</t>
  </si>
  <si>
    <t>3500084</t>
  </si>
  <si>
    <t>361886-CJ-1</t>
  </si>
  <si>
    <t>36255P-AF-7</t>
  </si>
  <si>
    <t>GM FINANCIAL CONSUMER AUTOMOBI GMCAR_18-</t>
  </si>
  <si>
    <t>36255P-AG-5</t>
  </si>
  <si>
    <t>3500091</t>
  </si>
  <si>
    <t>GM FINANCIAL AUTOMOBILE LEASIN</t>
  </si>
  <si>
    <t>3500095</t>
  </si>
  <si>
    <t>39154T-AS-7</t>
  </si>
  <si>
    <t>GREAT AMERICA LEASING RECEIVAB GALC_18-1</t>
  </si>
  <si>
    <t>39154T-AT-5</t>
  </si>
  <si>
    <t>HPEFS EQUIPMENT TRUST HPEFS_19</t>
  </si>
  <si>
    <t>HYUNDAI AUTO LEASE SECURITIZAT Series 14</t>
  </si>
  <si>
    <t>3500128</t>
  </si>
  <si>
    <t>MVW OWNER TRUST MVWOT_20-1A</t>
  </si>
  <si>
    <t>3500139</t>
  </si>
  <si>
    <t>3500146</t>
  </si>
  <si>
    <t>ORANGE LAKE TIMESHARE TRUST ON Series 14</t>
  </si>
  <si>
    <t>3500153</t>
  </si>
  <si>
    <t>3500157</t>
  </si>
  <si>
    <t>3500164</t>
  </si>
  <si>
    <t>3500168</t>
  </si>
  <si>
    <t>3500171</t>
  </si>
  <si>
    <t>3500175</t>
  </si>
  <si>
    <t>88167H-AF-3</t>
  </si>
  <si>
    <t>3500182</t>
  </si>
  <si>
    <t>3500186</t>
  </si>
  <si>
    <t>VOLVO FINANCIAL EQUIPMENT LLC VOLVO FINA</t>
  </si>
  <si>
    <t>3500193</t>
  </si>
  <si>
    <t>95058X-AG-3</t>
  </si>
  <si>
    <t>TRILLIUM CREDIT CARD TRUST II</t>
  </si>
  <si>
    <t>CBAM CLO MANAGEMENT CBAM_18-6A Series 14</t>
  </si>
  <si>
    <t>3500219</t>
  </si>
  <si>
    <t>DRYDEN SENIOR LOAN FUND DRSLF_</t>
  </si>
  <si>
    <t>289247-AY-4</t>
  </si>
  <si>
    <t>MARINER CLO LLC MARNR_18-5A Series 144A</t>
  </si>
  <si>
    <t>3500237</t>
  </si>
  <si>
    <t>VOYA CLO LTD VOYA_13-1A</t>
  </si>
  <si>
    <t>4200000</t>
  </si>
  <si>
    <t>4499999</t>
  </si>
  <si>
    <t>5000000</t>
  </si>
  <si>
    <t>Total - Unaffiliated Bank Loans</t>
  </si>
  <si>
    <t>Subtotal - Common Stock - Industrial and Miscellaneous (Unaffiliated) Other</t>
  </si>
  <si>
    <t>Subtotal - Bonds - U.S. Governments</t>
  </si>
  <si>
    <t>J.P. MORGAN SECURITIES INC</t>
  </si>
  <si>
    <t>JEFFRIES &amp; COMPANY INC</t>
  </si>
  <si>
    <t>3800039</t>
  </si>
  <si>
    <t>3800057</t>
  </si>
  <si>
    <t>3800064</t>
  </si>
  <si>
    <t>3800068</t>
  </si>
  <si>
    <t>3800075</t>
  </si>
  <si>
    <t>3800079</t>
  </si>
  <si>
    <t>3800082</t>
  </si>
  <si>
    <t>3800086</t>
  </si>
  <si>
    <t>3800093</t>
  </si>
  <si>
    <t>3800097</t>
  </si>
  <si>
    <t>HARDWOOD FUNDING LLC    2.600% 06/07/27</t>
  </si>
  <si>
    <t>MCKINSEY &amp; CO    2.400% 06/11/23</t>
  </si>
  <si>
    <t>3800148</t>
  </si>
  <si>
    <t>3800155</t>
  </si>
  <si>
    <t>3800159</t>
  </si>
  <si>
    <t>3800166</t>
  </si>
  <si>
    <t>BOOKING HOLDINGS INC    3.550% 03/15/28</t>
  </si>
  <si>
    <t>3800173</t>
  </si>
  <si>
    <t>3800177</t>
  </si>
  <si>
    <t>3800184</t>
  </si>
  <si>
    <t>3800188</t>
  </si>
  <si>
    <t>3800191</t>
  </si>
  <si>
    <t>3800195</t>
  </si>
  <si>
    <t>3800239</t>
  </si>
  <si>
    <t>3800246</t>
  </si>
  <si>
    <t>DELOITTE  LLP    3.460% 05/07/27</t>
  </si>
  <si>
    <t>3800257</t>
  </si>
  <si>
    <t>LLOYDS TSB BANK PLC</t>
  </si>
  <si>
    <t>3800264</t>
  </si>
  <si>
    <t>3800268</t>
  </si>
  <si>
    <t>3800275</t>
  </si>
  <si>
    <t>3800279</t>
  </si>
  <si>
    <t>3800282</t>
  </si>
  <si>
    <t>4800000</t>
  </si>
  <si>
    <t>Subtotal - Preferred Stocks - Parent, Subsidiaries and Affiliates Perpetual Preferred</t>
  </si>
  <si>
    <t>Subtotal - Common Stocks - Industrial and Miscellaneous (Unaffiliated) Other</t>
  </si>
  <si>
    <t>Subtotal - Common Stocks - Parent, Subsidiaries and Affiliates Publicly Traded</t>
  </si>
  <si>
    <t>Subtotal - Common Stocks - Mutual Funds</t>
  </si>
  <si>
    <t>9799997</t>
  </si>
  <si>
    <t xml:space="preserve">Foreign Exchange Gain (Loss) on Disposal </t>
  </si>
  <si>
    <t>2400002</t>
  </si>
  <si>
    <t>149717-JJ-0</t>
  </si>
  <si>
    <t>546850-BU-1</t>
  </si>
  <si>
    <t>02007P-AG-8</t>
  </si>
  <si>
    <t>023772-AB-2</t>
  </si>
  <si>
    <t>AMERICAN AIRLINES 2015-2 CLASS AMERICAN</t>
  </si>
  <si>
    <t>CLIF_14-1A</t>
  </si>
  <si>
    <t>549300L4XW5V70LRF855</t>
  </si>
  <si>
    <t>14314A-AF-6</t>
  </si>
  <si>
    <t>CARMX_18-1</t>
  </si>
  <si>
    <t>22822V-AA-9</t>
  </si>
  <si>
    <t>22822V-AD-3</t>
  </si>
  <si>
    <t>24702J-AF-6</t>
  </si>
  <si>
    <t>24702J-AG-4</t>
  </si>
  <si>
    <t>DISCOVER CARD EXECUTION NOTE T DCENT_18-</t>
  </si>
  <si>
    <t>477143-AH-4</t>
  </si>
  <si>
    <t>NFL VENTURES LP    2.730% 04/15/31</t>
  </si>
  <si>
    <t>OCCIDENTAL PETROLEUM CORPORATI</t>
  </si>
  <si>
    <t>IM7X0T3ECJW4C1T7ON55</t>
  </si>
  <si>
    <t>549300BKPEP01R3V6C59</t>
  </si>
  <si>
    <t>549300ODQP3K13HHWW27</t>
  </si>
  <si>
    <t>RELIANCE STANDARD LIFE GLOBAL RELIANCE S</t>
  </si>
  <si>
    <t>LEIDOS INC    4.450% 12/01/20</t>
  </si>
  <si>
    <t>ZOETIS INC    3.450% 11/13/20</t>
  </si>
  <si>
    <t>071813-BV-0</t>
  </si>
  <si>
    <t>55336V-BJ-8</t>
  </si>
  <si>
    <t>693656-AB-6</t>
  </si>
  <si>
    <t xml:space="preserve">Stock of Such Company Owned by Insurer on Statement Date: % of Outstanding </t>
  </si>
  <si>
    <t>1599999</t>
  </si>
  <si>
    <t xml:space="preserve">Issuer </t>
  </si>
  <si>
    <t>SD</t>
  </si>
  <si>
    <t>0100005</t>
  </si>
  <si>
    <t>0100009</t>
  </si>
  <si>
    <t>0100012</t>
  </si>
  <si>
    <t>912828-RR-3</t>
  </si>
  <si>
    <t>0100016</t>
  </si>
  <si>
    <t>912828-VS-6</t>
  </si>
  <si>
    <t>0100023</t>
  </si>
  <si>
    <t>0799999</t>
  </si>
  <si>
    <t>Subtotal - Bonds - All Other Governments - Commercial Mortgage-Backed Securities</t>
  </si>
  <si>
    <t>PA</t>
  </si>
  <si>
    <t>1300000</t>
  </si>
  <si>
    <t>923040-DG-1</t>
  </si>
  <si>
    <t>Subtotal - Bonds - U.S. Political Subdivisions - Issuer Obligations</t>
  </si>
  <si>
    <t>Subtotal - Bonds - U.S. Political Subdivisions - Residential Mortgage-Backed Securities</t>
  </si>
  <si>
    <t>AZ</t>
  </si>
  <si>
    <t>2500003</t>
  </si>
  <si>
    <t>2500007</t>
  </si>
  <si>
    <t>2500010</t>
  </si>
  <si>
    <t>2500014</t>
  </si>
  <si>
    <t>NC</t>
  </si>
  <si>
    <t>IN</t>
  </si>
  <si>
    <t>549300PS0PAS7NDSSI20</t>
  </si>
  <si>
    <t>KANSAS ST DEV FIN AUTH REV</t>
  </si>
  <si>
    <t>2500021</t>
  </si>
  <si>
    <t>NEW JERSEY ST TRANSN TR FD AUT MUNI BND</t>
  </si>
  <si>
    <t>NEW YORK N Y CITY TRANSITIONAL</t>
  </si>
  <si>
    <t>SAN JOSE CALIF FING AUTH SAN JOSE CALIF</t>
  </si>
  <si>
    <t>2500032</t>
  </si>
  <si>
    <t>023135-AZ-9</t>
  </si>
  <si>
    <t>025816-BD-0</t>
  </si>
  <si>
    <t>02665W-DD-0</t>
  </si>
  <si>
    <t>031162-BV-1</t>
  </si>
  <si>
    <t>JCXKQXACK5PX85JQN464</t>
  </si>
  <si>
    <t>2.B PL</t>
  </si>
  <si>
    <t>AUTONATION INC</t>
  </si>
  <si>
    <t>549300DRQQI75D2JP341</t>
  </si>
  <si>
    <t>3200068</t>
  </si>
  <si>
    <t>BOSTON SCIENTIFIC CORPORATION</t>
  </si>
  <si>
    <t>3200079</t>
  </si>
  <si>
    <t>3200086</t>
  </si>
  <si>
    <t>CME GROUP INC</t>
  </si>
  <si>
    <t>3200097</t>
  </si>
  <si>
    <t>CARRIER GLOBAL CORP</t>
  </si>
  <si>
    <t>CATERPILLAR FINANCIAL SERVICES</t>
  </si>
  <si>
    <t>172967-MF-5</t>
  </si>
  <si>
    <t>174610-AR-6</t>
  </si>
  <si>
    <t>COMERICA BANK</t>
  </si>
  <si>
    <t>CONSTELLATION BRANDS INC</t>
  </si>
  <si>
    <t>233851-DX-9</t>
  </si>
  <si>
    <t>3200159</t>
  </si>
  <si>
    <t>OPX52SQVOZI8IVSWYU66</t>
  </si>
  <si>
    <t>5493004JF0SDFLM8GD76</t>
  </si>
  <si>
    <t>3200177</t>
  </si>
  <si>
    <t>7ZS3DE5PN30BYUJFWP05</t>
  </si>
  <si>
    <t>ESTEE LAUDER COMPANIES INC</t>
  </si>
  <si>
    <t>QFROUN1UWUYU0DVIWD51</t>
  </si>
  <si>
    <t>3200188</t>
  </si>
  <si>
    <t>FIFTH THIRD BANK</t>
  </si>
  <si>
    <t>33767D-AB-1</t>
  </si>
  <si>
    <t>337738-AP-3</t>
  </si>
  <si>
    <t>GI7UBEJLXYLGR2C7GV83</t>
  </si>
  <si>
    <t>337738-AQ-1</t>
  </si>
  <si>
    <t>549300Q0UQF87NXNOC32</t>
  </si>
  <si>
    <t>3200195</t>
  </si>
  <si>
    <t>3200199</t>
  </si>
  <si>
    <t>UDSQCVRUX5BONN0VY111</t>
  </si>
  <si>
    <t>377372-AM-9</t>
  </si>
  <si>
    <t>38869A-AA-5</t>
  </si>
  <si>
    <t>SO75N4VY5NXGQSK8YQ65</t>
  </si>
  <si>
    <t>41242*-BK-7</t>
  </si>
  <si>
    <t>54930088VDQ6840Y6597</t>
  </si>
  <si>
    <t>476556-DC-6</t>
  </si>
  <si>
    <t>KENNAMETAL INC. KENNAMETAL INC.</t>
  </si>
  <si>
    <t>KENNAMETAL INC.</t>
  </si>
  <si>
    <t>KEYSIGHT TECHNOLOGIES INC</t>
  </si>
  <si>
    <t>LABORATORY CORPORATION OF LABORATORY COR</t>
  </si>
  <si>
    <t>549300I4GMO6D34U1T02</t>
  </si>
  <si>
    <t>DKOVQUCDW4ZLYCUD4T55</t>
  </si>
  <si>
    <t>3200268</t>
  </si>
  <si>
    <t>534187-BD-0</t>
  </si>
  <si>
    <t>3200279</t>
  </si>
  <si>
    <t>3200286</t>
  </si>
  <si>
    <t>57629W-CG-3</t>
  </si>
  <si>
    <t>579780-AM-9</t>
  </si>
  <si>
    <t>UE2136O97NLB5BYP9H04</t>
  </si>
  <si>
    <t>3200293</t>
  </si>
  <si>
    <t>58174#-AD-6</t>
  </si>
  <si>
    <t>58174#-AE-4</t>
  </si>
  <si>
    <t>3200297</t>
  </si>
  <si>
    <t>585055-BS-4</t>
  </si>
  <si>
    <t>C4BXATY60WC6XEOZDX54</t>
  </si>
  <si>
    <t>594918-BB-9</t>
  </si>
  <si>
    <t>B3DXGBC8GAIYWI2Z0172</t>
  </si>
  <si>
    <t>61744Y-AN-8</t>
  </si>
  <si>
    <t>636180-BQ-3</t>
  </si>
  <si>
    <t>637432-NJ-0</t>
  </si>
  <si>
    <t>NEW JERSEY RESOURCES CORPORATI</t>
  </si>
  <si>
    <t>NORTHERN STATES PWR CO (MINNESOTA)</t>
  </si>
  <si>
    <t>NOVARTIS CAPITAL CORP</t>
  </si>
  <si>
    <t>67079B-AC-4</t>
  </si>
  <si>
    <t>681919-BA-3</t>
  </si>
  <si>
    <t>69353R-FL-7</t>
  </si>
  <si>
    <t>70432*-AA-9</t>
  </si>
  <si>
    <t>709599-BD-5</t>
  </si>
  <si>
    <t>3200359</t>
  </si>
  <si>
    <t>741503-AZ-9</t>
  </si>
  <si>
    <t>QUALCOMM INC</t>
  </si>
  <si>
    <t>3200377</t>
  </si>
  <si>
    <t>3200384</t>
  </si>
  <si>
    <t>3200388</t>
  </si>
  <si>
    <t>78355H-KP-3</t>
  </si>
  <si>
    <t>SABINE PASS LIQUEFACTION LLC</t>
  </si>
  <si>
    <t>3200395</t>
  </si>
  <si>
    <t>3200399</t>
  </si>
  <si>
    <t>838518-D@-4</t>
  </si>
  <si>
    <t>549300NXSY15DRY2R511</t>
  </si>
  <si>
    <t>855244-AQ-2</t>
  </si>
  <si>
    <t>857477-BC-6</t>
  </si>
  <si>
    <t>STRYKER CORP</t>
  </si>
  <si>
    <t>863667-AM-3</t>
  </si>
  <si>
    <t>SYSCO CORPORATION SYSCO CORPORATION</t>
  </si>
  <si>
    <t>883556-CF-7</t>
  </si>
  <si>
    <t>VISA INC</t>
  </si>
  <si>
    <t>ANTHEM INC WELLPOINT INC</t>
  </si>
  <si>
    <t>3200468</t>
  </si>
  <si>
    <t>3200475</t>
  </si>
  <si>
    <t>WOLSELEY CAPITAL INC</t>
  </si>
  <si>
    <t>98419M-AM-2</t>
  </si>
  <si>
    <t>3200479</t>
  </si>
  <si>
    <t>98956P-AQ-5</t>
  </si>
  <si>
    <t>AGNICO EAGLE MINES LTD</t>
  </si>
  <si>
    <t>3200486</t>
  </si>
  <si>
    <t>549300TD3EMSRRC0YH75</t>
  </si>
  <si>
    <t>3200493</t>
  </si>
  <si>
    <t>3200497</t>
  </si>
  <si>
    <t>9695005MSX1OYEMGDF46</t>
  </si>
  <si>
    <t>05581K-AB-7</t>
  </si>
  <si>
    <t>CREDIT AGRICOLE CORPORATE AND Series 144</t>
  </si>
  <si>
    <t>2.B Z</t>
  </si>
  <si>
    <t>57385L-AA-6</t>
  </si>
  <si>
    <t>780097-BK-6</t>
  </si>
  <si>
    <t>3200559</t>
  </si>
  <si>
    <t>SK TELECOM CO LTD Series 144A</t>
  </si>
  <si>
    <t>SPCM SA</t>
  </si>
  <si>
    <t>UNITED ENERGY DISTRIBUTION PTY UNITED EN</t>
  </si>
  <si>
    <t>3200577</t>
  </si>
  <si>
    <t>FRITZ DRAXLMAIER GMGH &amp; CO KG</t>
  </si>
  <si>
    <t>G4706#-AB-4</t>
  </si>
  <si>
    <t>3200584</t>
  </si>
  <si>
    <t>G6764#-AA-0</t>
  </si>
  <si>
    <t>3200588</t>
  </si>
  <si>
    <t>3200595</t>
  </si>
  <si>
    <t>Subtotal - Bonds - Industrial and Miscellaneous (Unaffiliated) - Issuer Obligations</t>
  </si>
  <si>
    <t>3400000</t>
  </si>
  <si>
    <t>AMERICAN AIRLINES 2016-3 CLASS</t>
  </si>
  <si>
    <t>AVIS BUDGET RENTAL CAR FUNDING Series 14</t>
  </si>
  <si>
    <t>12563L-AN-7</t>
  </si>
  <si>
    <t>CNH EQUIPMENT TRUST CNH_18-A</t>
  </si>
  <si>
    <t>CCCIT_18-A2</t>
  </si>
  <si>
    <t>24704D-AJ-9</t>
  </si>
  <si>
    <t>Barclays</t>
  </si>
  <si>
    <t>FORD CREDIT AUTO OWNER TRUST F</t>
  </si>
  <si>
    <t>3500088</t>
  </si>
  <si>
    <t>36255J-AG-9</t>
  </si>
  <si>
    <t>GMCAR_18-1</t>
  </si>
  <si>
    <t>36257A-AG-6</t>
  </si>
  <si>
    <t>3500099</t>
  </si>
  <si>
    <t>43284B-AB-8</t>
  </si>
  <si>
    <t>43284B-AC-6</t>
  </si>
  <si>
    <t>44935S-AE-6</t>
  </si>
  <si>
    <t>ORANGE LAKE TIMESHARE TRUST ON</t>
  </si>
  <si>
    <t>83546D-AJ-7</t>
  </si>
  <si>
    <t>TACO BELL FUNDING LLC BELL_18- Series 14</t>
  </si>
  <si>
    <t>TRINITY RAIL LEASING LP</t>
  </si>
  <si>
    <t>TRL_12-1A ABS</t>
  </si>
  <si>
    <t>3500179</t>
  </si>
  <si>
    <t>92347Y-AD-6</t>
  </si>
  <si>
    <t>VOLVO FINANCIAL EQUIPMENT LLC Series 144</t>
  </si>
  <si>
    <t>3500197</t>
  </si>
  <si>
    <t>WORLD OMNI AUTO RECEIVABLES TR</t>
  </si>
  <si>
    <t>MASTER CREDIT CARD TRUST MCCT_</t>
  </si>
  <si>
    <t>89621A-AU-3</t>
  </si>
  <si>
    <t>BENEFIT STREET PARTNERS CLO LT Series 14</t>
  </si>
  <si>
    <t>CBAM CLO MANAGEMENT CBAM_18-5A</t>
  </si>
  <si>
    <t>CIFC FUNDING LTD CIFC_15-1A Series 144A</t>
  </si>
  <si>
    <t>26252V-AG-6</t>
  </si>
  <si>
    <t>VENTURE CDO LTD VENTR_20-39A Series 144A</t>
  </si>
  <si>
    <t>VENTURE CDO LTD VENTR_20-39A</t>
  </si>
  <si>
    <t>92333B-AG-5</t>
  </si>
  <si>
    <t>Subtotal - Bonds - Parent, Subsidiaries and Affiliates - Commercial Mortgage-Backed Securities</t>
  </si>
  <si>
    <t>6300000</t>
  </si>
  <si>
    <t>6599999</t>
  </si>
  <si>
    <t>9200000</t>
  </si>
  <si>
    <t>9499999</t>
  </si>
  <si>
    <t>Subtotal - Bonds - U.S. Political Subdivisions of States, Territories and Possessions</t>
  </si>
  <si>
    <t>KEYBANC CAPITAL MARKET</t>
  </si>
  <si>
    <t>FIFTH THIRD BANCORP    2.550% 05/05/27</t>
  </si>
  <si>
    <t>FIFTH THIRD BANK    2.250% 02/01/27</t>
  </si>
  <si>
    <t>FOX CORP    4.030% 01/25/24</t>
  </si>
  <si>
    <t>SMBC NIKKO SECURITIES AI</t>
  </si>
  <si>
    <t>MPLX LP    3.500% 12/01/22</t>
  </si>
  <si>
    <t>MIZUHO SECURITIES</t>
  </si>
  <si>
    <t>3800199</t>
  </si>
  <si>
    <t>WELLS FARGO &amp; COMPANY    2.164% 02/11/26</t>
  </si>
  <si>
    <t>NOMURA SECURITIES</t>
  </si>
  <si>
    <t>8399997</t>
  </si>
  <si>
    <t>8699999</t>
  </si>
  <si>
    <t>8999997</t>
  </si>
  <si>
    <t xml:space="preserve">Bond Interest/ Stock Dividends Received During Year </t>
  </si>
  <si>
    <t>CT</t>
  </si>
  <si>
    <t>JEA FLA ELEC SYS REV    6.406% 10/01/34</t>
  </si>
  <si>
    <t>AMERICAN EXPRESS CREDIT CORPOR</t>
  </si>
  <si>
    <t>AMERICAN EXPRESS CREDIT CORP</t>
  </si>
  <si>
    <t>06406H-DD-8</t>
  </si>
  <si>
    <t>BANK OF NEW YORK MELLON CORP/T BANK OF N</t>
  </si>
  <si>
    <t>CLI FUNDING LLC CLIF_13-1A Series 144A</t>
  </si>
  <si>
    <t>CNH EQUIPMENT TRUST CNH_16-A</t>
  </si>
  <si>
    <t>15135B-AD-3</t>
  </si>
  <si>
    <t>219023-AF-5</t>
  </si>
  <si>
    <t>FORTIVE CORP    2.350% 06/15/21</t>
  </si>
  <si>
    <t>FOX CORP Series 144A    4.030% 01/25/24</t>
  </si>
  <si>
    <t>784F5XWPLTWKTBV3E584</t>
  </si>
  <si>
    <t>JPMORGAN CHASE &amp; CO    2.295% 08/15/21</t>
  </si>
  <si>
    <t>55336V-AY-6</t>
  </si>
  <si>
    <t>PNC FUNDING CORP</t>
  </si>
  <si>
    <t>PPG INDUSTRIES INC</t>
  </si>
  <si>
    <t>Call      103.3790</t>
  </si>
  <si>
    <t>TECH DATA CORP</t>
  </si>
  <si>
    <t>US BANCORP    2.350% 01/29/21</t>
  </si>
  <si>
    <t>Call      102.8100</t>
  </si>
  <si>
    <t>ZOETIS INC</t>
  </si>
  <si>
    <t>CAL FUNDING LTD CAI_18-1A Series 144A</t>
  </si>
  <si>
    <t>Total - Preferred Stocks - Part 4</t>
  </si>
  <si>
    <t xml:space="preserve">Interest and Dividends Received During Year </t>
  </si>
  <si>
    <t>0500000</t>
  </si>
  <si>
    <t>PERU THE REPUBLIC OF    2.392% 01/23/26</t>
  </si>
  <si>
    <t>00914A-AF-9</t>
  </si>
  <si>
    <t>ALCOA INC    5.400% 04/15/21</t>
  </si>
  <si>
    <t xml:space="preserve">NAIC Company Code </t>
  </si>
  <si>
    <t>2020-Annual</t>
  </si>
  <si>
    <t xml:space="preserve">Foreign </t>
  </si>
  <si>
    <t xml:space="preserve">Bond Characteristics </t>
  </si>
  <si>
    <t xml:space="preserve">LEI </t>
  </si>
  <si>
    <t>A</t>
  </si>
  <si>
    <t>912828-5R-7</t>
  </si>
  <si>
    <t>MN</t>
  </si>
  <si>
    <t>91282C-AP-6</t>
  </si>
  <si>
    <t>0199999</t>
  </si>
  <si>
    <t>Subtotal - Bonds - All Other Governments - Other Loan-Backed and Structured Securities</t>
  </si>
  <si>
    <t>1100003</t>
  </si>
  <si>
    <t>MISSISSIPPI ST MISSISSIPPI ST</t>
  </si>
  <si>
    <t>605581-NF-0</t>
  </si>
  <si>
    <t>LONG BEACH CALIF UNI SCH DIST MUNI BND G</t>
  </si>
  <si>
    <t>738850-QP-4</t>
  </si>
  <si>
    <t>2500018</t>
  </si>
  <si>
    <t>2500025</t>
  </si>
  <si>
    <t>2500029</t>
  </si>
  <si>
    <t>2500036</t>
  </si>
  <si>
    <t>875301-HQ-9</t>
  </si>
  <si>
    <t>875301-HR-7</t>
  </si>
  <si>
    <t>875301-HS-5</t>
  </si>
  <si>
    <t>875301-HT-3</t>
  </si>
  <si>
    <t>2500043</t>
  </si>
  <si>
    <t>2600000</t>
  </si>
  <si>
    <t>2899999</t>
  </si>
  <si>
    <t>C1JO4L7V36XZOIREBT81</t>
  </si>
  <si>
    <t>02343U-AG-0</t>
  </si>
  <si>
    <t>AMPHENOL CORP</t>
  </si>
  <si>
    <t>037833-BU-3</t>
  </si>
  <si>
    <t>ASHLAND INC ASHLAND INC</t>
  </si>
  <si>
    <t>6O4MRU8C1MS0K34UQF79</t>
  </si>
  <si>
    <t>04685A-2B-6</t>
  </si>
  <si>
    <t>04685A-2E-0</t>
  </si>
  <si>
    <t>054561-AC-9</t>
  </si>
  <si>
    <t>05565E-BM-6</t>
  </si>
  <si>
    <t>BMW US CAPITAL LLC</t>
  </si>
  <si>
    <t>06406H-CS-6</t>
  </si>
  <si>
    <t>BAXTER INTERNATIONAL INC</t>
  </si>
  <si>
    <t>BERRY GLOBAL INC</t>
  </si>
  <si>
    <t>Y6ZDD9FP4P8JSSJMW954</t>
  </si>
  <si>
    <t>125523-BR-0</t>
  </si>
  <si>
    <t>CENTERPOINT ENERGY RESOURCES C CENTERPOI</t>
  </si>
  <si>
    <t>17325F-AS-7</t>
  </si>
  <si>
    <t>CLECO POWER LLC</t>
  </si>
  <si>
    <t>19565C-AA-8</t>
  </si>
  <si>
    <t>CONNECTICUT NATURAL GAS CORPOR CONNECTIC</t>
  </si>
  <si>
    <t>CONNECTICUT NATURAL GAS CORPOR</t>
  </si>
  <si>
    <t>CONNECTICUT NATURAL GAS</t>
  </si>
  <si>
    <t>CROWN CASTLE INTERNATIONAL COR</t>
  </si>
  <si>
    <t>23355L-AJ-5</t>
  </si>
  <si>
    <t>DUKE ENERGY CORP</t>
  </si>
  <si>
    <t>EOG RESOURCES INC EOG RESOURCES INC</t>
  </si>
  <si>
    <t>26875P-AM-3</t>
  </si>
  <si>
    <t>ENERSYS SERIES 144A</t>
  </si>
  <si>
    <t>KYX6QEFGFXUFFAWLGG05</t>
  </si>
  <si>
    <t>302491-AT-2</t>
  </si>
  <si>
    <t>FL GAS TSMN CO Series 144A</t>
  </si>
  <si>
    <t>FOOTBALL CLUB TERM NOTES 2020- FOOTBALL</t>
  </si>
  <si>
    <t>369550-BG-2</t>
  </si>
  <si>
    <t>GRAY OAK PIPELINE LLC</t>
  </si>
  <si>
    <t>40139L-AA-1</t>
  </si>
  <si>
    <t>1VWDHRIRERCQ5D5M5681</t>
  </si>
  <si>
    <t>443510-AH-5</t>
  </si>
  <si>
    <t>HUMANA INC</t>
  </si>
  <si>
    <t>46625H-RL-6</t>
  </si>
  <si>
    <t>49327M-2U-7</t>
  </si>
  <si>
    <t>50540R-AP-7</t>
  </si>
  <si>
    <t>LABORATORY CORPORATION OF AMER</t>
  </si>
  <si>
    <t>LAM RSRCH CORP</t>
  </si>
  <si>
    <t>527298-BN-2</t>
  </si>
  <si>
    <t>52736R-BG-6</t>
  </si>
  <si>
    <t>53079E-BE-3</t>
  </si>
  <si>
    <t>LOCKHEED MARTIN CORPORATION</t>
  </si>
  <si>
    <t>3BNYRYQHD39K4LCKQF12</t>
  </si>
  <si>
    <t>METROPOLITAN LIFE GLOBAL FUNDI Series 14</t>
  </si>
  <si>
    <t>INR2EJN1ERAN0W5ZP974</t>
  </si>
  <si>
    <t>NHL US FUNDING LP</t>
  </si>
  <si>
    <t>NATIONAL HOCKEY LEAGUE</t>
  </si>
  <si>
    <t>2.A PL</t>
  </si>
  <si>
    <t>NEWMARKET NEWMARKET CORP</t>
  </si>
  <si>
    <t>NEWMARKET</t>
  </si>
  <si>
    <t>GJOUP9M7C39GLSK9R870</t>
  </si>
  <si>
    <t>74151#-AN-8</t>
  </si>
  <si>
    <t>742718-EN-5</t>
  </si>
  <si>
    <t>744573-AK-2</t>
  </si>
  <si>
    <t>RPM INTERNATIONAL INC</t>
  </si>
  <si>
    <t>759509-AE-2</t>
  </si>
  <si>
    <t>75951A-AP-3</t>
  </si>
  <si>
    <t>771196-BJ-0</t>
  </si>
  <si>
    <t>ROCHE HOLDINGS INC</t>
  </si>
  <si>
    <t>SANTANDER HOLDINGS USA INC</t>
  </si>
  <si>
    <t>806605-AH-4</t>
  </si>
  <si>
    <t>808513-AX-3</t>
  </si>
  <si>
    <t>CHARLES SCHWAB CORP</t>
  </si>
  <si>
    <t>808513-AY-1</t>
  </si>
  <si>
    <t>SHERWIN-WILLIAMS COMPANY (THE)</t>
  </si>
  <si>
    <t>871829-BG-1</t>
  </si>
  <si>
    <t>GANNETT CO INC</t>
  </si>
  <si>
    <t>887389-AJ-3</t>
  </si>
  <si>
    <t>90331H-MS-9</t>
  </si>
  <si>
    <t>US BANK NATIONAL ASSOCIATION</t>
  </si>
  <si>
    <t>918204-BB-3</t>
  </si>
  <si>
    <t>WELLS FARGO &amp; COMPANY</t>
  </si>
  <si>
    <t>WABTEC CORP</t>
  </si>
  <si>
    <t>WESTINGHOUSE AIR BRAKE TECHNOL</t>
  </si>
  <si>
    <t>TELEPERFORMANCE</t>
  </si>
  <si>
    <t>013822-AE-1</t>
  </si>
  <si>
    <t>5493000UL1QLQLT1VQ42</t>
  </si>
  <si>
    <t>ANGLO AMERICAN CAPITAL PLC</t>
  </si>
  <si>
    <t>AVOLON HOLDINGS FUNDING LTD Series 144A</t>
  </si>
  <si>
    <t>RABOBANK NEDERLAND (NY BRANCH)</t>
  </si>
  <si>
    <t>24715@-AS-3</t>
  </si>
  <si>
    <t>24715@-AT-1</t>
  </si>
  <si>
    <t>529900ERDFHS6C1M4U58</t>
  </si>
  <si>
    <t>Enstar Group</t>
  </si>
  <si>
    <t>29446M-AE-2</t>
  </si>
  <si>
    <t>INCITEC PIVOT LTD</t>
  </si>
  <si>
    <t>53944Y-AH-6</t>
  </si>
  <si>
    <t>2138005O9XJIJN4JPN90</t>
  </si>
  <si>
    <t>78081B-AC-7</t>
  </si>
  <si>
    <t>SUMITOMO MITSUI FIN GRP INC</t>
  </si>
  <si>
    <t>902613-AC-2</t>
  </si>
  <si>
    <t>UBS GROUP AG Series 144A</t>
  </si>
  <si>
    <t>D2736#-AT-6</t>
  </si>
  <si>
    <t>COATS GROUP FINANCE CO LTD</t>
  </si>
  <si>
    <t>JAJO</t>
  </si>
  <si>
    <t>OMEGA LEASING (NO. 9) LIMITED</t>
  </si>
  <si>
    <t>THAMES WATER UTILITIES LTD</t>
  </si>
  <si>
    <t>N4281@-CH-6</t>
  </si>
  <si>
    <t>KONINKLIJKE VOPAK VN KONINKLIJKE VOPAK N</t>
  </si>
  <si>
    <t>02007E-AJ-7</t>
  </si>
  <si>
    <t>ASCENTIUM EQUIPMENT RECEIVABLE</t>
  </si>
  <si>
    <t>05493C-AB-2</t>
  </si>
  <si>
    <t>BCC FUNDING CORP BCCFC_20-1</t>
  </si>
  <si>
    <t>05493C-AC-0</t>
  </si>
  <si>
    <t>Refinitiv</t>
  </si>
  <si>
    <t>12596J-AE-3</t>
  </si>
  <si>
    <t>12701#-AA-1</t>
  </si>
  <si>
    <t>1,4</t>
  </si>
  <si>
    <t>CITIBANK CREDIT CARD ISSUANCE CITIBANK C</t>
  </si>
  <si>
    <t>CNH EQUIPMENT TRUST CNH_17-C</t>
  </si>
  <si>
    <t>DISCOVERY CARD EXECUTION NOTE DISCOVERY</t>
  </si>
  <si>
    <t>DPABS_17-1A Series 144A</t>
  </si>
  <si>
    <t>DRUG ROYALTY III LP 1 DRUGC_17 DRUG ROYA</t>
  </si>
  <si>
    <t>34532J-AA-2</t>
  </si>
  <si>
    <t>34532J-AB-0</t>
  </si>
  <si>
    <t>36260K-AF-1</t>
  </si>
  <si>
    <t>GREAT AMERICA LEASING RECEIVAB Series 14</t>
  </si>
  <si>
    <t>HPEFS EQUIPMENT TRUST HPEFS_19 Series 14</t>
  </si>
  <si>
    <t>63938P-BN-8</t>
  </si>
  <si>
    <t>826525-AB-3</t>
  </si>
  <si>
    <t>82652Y-AA-2</t>
  </si>
  <si>
    <t>TRINITY RAIL LEASING LP TRL_12-1A ABS</t>
  </si>
  <si>
    <t>TRITON CONTAINER FINANCE LLC T Series 14</t>
  </si>
  <si>
    <t>92348X-AD-7</t>
  </si>
  <si>
    <t>92888D-AE-5</t>
  </si>
  <si>
    <t>BENEFIT STREET PARTNERS CLO LT</t>
  </si>
  <si>
    <t>MAGNETITE CLO LTD MAGNE_17-19A Series 14</t>
  </si>
  <si>
    <t>56844Y-AA-5</t>
  </si>
  <si>
    <t>OAK HILL CREDIT PARTNERS OAKC_ Series 14</t>
  </si>
  <si>
    <t>4999999</t>
  </si>
  <si>
    <t>Subtotal - Bonds - Parent, Subsidiaries and Affiliates - Residential Mortgage-Backed Securities</t>
  </si>
  <si>
    <t>5199999</t>
  </si>
  <si>
    <t>7899999</t>
  </si>
  <si>
    <t>8099999</t>
  </si>
  <si>
    <t xml:space="preserve">Number of Shares </t>
  </si>
  <si>
    <t xml:space="preserve">Dividends: Nonadmitted Declared But Unpaid </t>
  </si>
  <si>
    <t>9300001</t>
  </si>
  <si>
    <t>Subtotal - Unit Investment Trusts</t>
  </si>
  <si>
    <t>Schedule D - Part 3 - Long-Term Bonds and Stocks Acquired</t>
  </si>
  <si>
    <t>1700003</t>
  </si>
  <si>
    <t>3100002</t>
  </si>
  <si>
    <t>3100006</t>
  </si>
  <si>
    <t>3100013</t>
  </si>
  <si>
    <t>3100017</t>
  </si>
  <si>
    <t>3100020</t>
  </si>
  <si>
    <t>3100024</t>
  </si>
  <si>
    <t>3100031</t>
  </si>
  <si>
    <t>3800003</t>
  </si>
  <si>
    <t>3800010</t>
  </si>
  <si>
    <t>EQUINIX INC    1.800% 07/15/27</t>
  </si>
  <si>
    <t>3800101</t>
  </si>
  <si>
    <t>JPMORGAN CHASE &amp; CO    2.301% 10/15/25</t>
  </si>
  <si>
    <t>BB&amp;T CORP    1.200% 08/05/25</t>
  </si>
  <si>
    <t>3800210</t>
  </si>
  <si>
    <t>IRVING OIL LTD    3.840% 03/20/29</t>
  </si>
  <si>
    <t>BPCE SA Series 144A    1.652% 10/06/26</t>
  </si>
  <si>
    <t>Soc Gen</t>
  </si>
  <si>
    <t>5500000</t>
  </si>
  <si>
    <t>Total - Bonds - Part 3</t>
  </si>
  <si>
    <t>8400000</t>
  </si>
  <si>
    <t>Subtotal - Common Stocks - Parent, Subsidiaries and Affiliates Other</t>
  </si>
  <si>
    <t>Schedule D - Part 4 - Long-Term Bonds and Stocks Sold, Redeemed or Otherwise Disposed Of</t>
  </si>
  <si>
    <t>46613C-WG-6</t>
  </si>
  <si>
    <t>KENTUCKY ASSET / LIABILITY COM</t>
  </si>
  <si>
    <t>T9G0YDC6WFXHBPA02M60</t>
  </si>
  <si>
    <t>AMERICAN EXPRESS CREDIT ACCOUN AMERICAN</t>
  </si>
  <si>
    <t>04365U-AG-9</t>
  </si>
  <si>
    <t>BANK OF NEW YORK MELLON CORP</t>
  </si>
  <si>
    <t>125523-BQ-2</t>
  </si>
  <si>
    <t>CENTENE CORP    4.750% 05/15/22</t>
  </si>
  <si>
    <t>200339-DW-6</t>
  </si>
  <si>
    <t>Call      102.0120</t>
  </si>
  <si>
    <t>ENTERPRISE FLEET FINANCING LLC ENTERPRIS</t>
  </si>
  <si>
    <t>34531E-AG-1</t>
  </si>
  <si>
    <t>GOLDMAN SACHS GROUP INC</t>
  </si>
  <si>
    <t>41284D-AF-9</t>
  </si>
  <si>
    <t>491674-BE-6</t>
  </si>
  <si>
    <t>QVC INC    4.850% 04/01/24</t>
  </si>
  <si>
    <t>854502-AC-5</t>
  </si>
  <si>
    <t>857477-AS-2</t>
  </si>
  <si>
    <t>TRINITY RAIL LEASING LP TRL_18 Series 14</t>
  </si>
  <si>
    <t>Call      106.9918</t>
  </si>
  <si>
    <t>12805P-AE-6</t>
  </si>
  <si>
    <t>INFORMA PLC</t>
  </si>
  <si>
    <t>G4706#-AA-6</t>
  </si>
  <si>
    <t>Total - Common Stocks - Part 4</t>
  </si>
  <si>
    <t>019736-AD-9</t>
  </si>
  <si>
    <t>15135B-AU-5</t>
  </si>
  <si>
    <t>52736R-BH-4</t>
  </si>
  <si>
    <t>SCDPT6SN1</t>
  </si>
  <si>
    <t xml:space="preserve">Do Insurer's Assets Include Intangible Assets Connected with Holding of Such Company's Stock? </t>
  </si>
  <si>
    <t xml:space="preserve">Total Amount of Such Intangible Assets </t>
  </si>
  <si>
    <t>Subtotal - Preferred Stock - Non - Insurer</t>
  </si>
  <si>
    <t>NO</t>
  </si>
  <si>
    <t>TREASURY BOND</t>
  </si>
  <si>
    <t>TREASURY NOTE</t>
  </si>
  <si>
    <t>0600001</t>
  </si>
  <si>
    <t>1200000</t>
  </si>
  <si>
    <t>1499999</t>
  </si>
  <si>
    <t>Total - U.S. States, Territories and Possessions Bonds</t>
  </si>
  <si>
    <t>E</t>
  </si>
  <si>
    <t>CA</t>
  </si>
  <si>
    <t>64966M-GL-7</t>
  </si>
  <si>
    <t>NEW YORK N Y</t>
  </si>
  <si>
    <t>1800004</t>
  </si>
  <si>
    <t>SIMI VALLEY CALIF UNI SCH DIST MUNI BND</t>
  </si>
  <si>
    <t>1800011</t>
  </si>
  <si>
    <t>VENTURA CNTY CALIF CMNTY COLLE MUNI BND</t>
  </si>
  <si>
    <t>VENTURA CNTY CALIF CMNTY COLLE</t>
  </si>
  <si>
    <t>2000000</t>
  </si>
  <si>
    <t>050589-RA-0</t>
  </si>
  <si>
    <t>COMMONWEALTH FING AUTH PA REV</t>
  </si>
  <si>
    <t>20281P-ML-3</t>
  </si>
  <si>
    <t>20281P-MM-1</t>
  </si>
  <si>
    <t>45506D-WN-1</t>
  </si>
  <si>
    <t>KANSAS ST DEV FIN AUTH KANSAS ST DEV FIN</t>
  </si>
  <si>
    <t>NEW YORK CITY TRANSITIONAL FIN</t>
  </si>
  <si>
    <t>NEW YORK ST URBAN DEV CORP</t>
  </si>
  <si>
    <t>798153-NK-4</t>
  </si>
  <si>
    <t>798153-NL-2</t>
  </si>
  <si>
    <t>798153-NM-0</t>
  </si>
  <si>
    <t>3200003</t>
  </si>
  <si>
    <t>3200007</t>
  </si>
  <si>
    <t>3200010</t>
  </si>
  <si>
    <t>3200014</t>
  </si>
  <si>
    <t>3200021</t>
  </si>
  <si>
    <t>03027X-AB-6</t>
  </si>
  <si>
    <t>03027X-AV-2</t>
  </si>
  <si>
    <t>032095-AB-7</t>
  </si>
  <si>
    <t>3200032</t>
  </si>
  <si>
    <t>03690A-AF-3</t>
  </si>
  <si>
    <t>037833-AR-1</t>
  </si>
  <si>
    <t>044209-AF-1</t>
  </si>
  <si>
    <t>WFLLPEPC7FZXENRZV188</t>
  </si>
  <si>
    <t>JJKC32MCHWDI71265Z06</t>
  </si>
  <si>
    <t>549300AP2Q7ERHX6RI89</t>
  </si>
  <si>
    <t>11135F-AL-5</t>
  </si>
  <si>
    <t>118230-AT-8</t>
  </si>
  <si>
    <t>BUCKEYE PARTNERS Series 144A</t>
  </si>
  <si>
    <t>126650-DF-4</t>
  </si>
  <si>
    <t>CAPITAL ONE FINANCIAL CORPORAT</t>
  </si>
  <si>
    <t>3200101</t>
  </si>
  <si>
    <t>3200105</t>
  </si>
  <si>
    <t>14913Q-3A-5</t>
  </si>
  <si>
    <t>3200112</t>
  </si>
  <si>
    <t>3200123</t>
  </si>
  <si>
    <t>3200130</t>
  </si>
  <si>
    <t>20030N-DK-4</t>
  </si>
  <si>
    <t>SYHS7HRDXLL4I0IQ8776</t>
  </si>
  <si>
    <t>3200141</t>
  </si>
  <si>
    <t>5493001NEDZNIFRP2R92</t>
  </si>
  <si>
    <t>E0KSF7PFQ210NWI8Z391</t>
  </si>
  <si>
    <t>24422E-UM-9</t>
  </si>
  <si>
    <t>24703D-AZ-4</t>
  </si>
  <si>
    <t>DELL INTERNATIONAL LLC/EMC COR Series 14</t>
  </si>
  <si>
    <t>DISCOVERY COMMUNICATIONS LLC</t>
  </si>
  <si>
    <t>26875P-AK-7</t>
  </si>
  <si>
    <t>XWTZDRYZPBUHIQBKDB46</t>
  </si>
  <si>
    <t>291011-BL-7</t>
  </si>
  <si>
    <t>29103D-AF-3</t>
  </si>
  <si>
    <t>ENERSYS</t>
  </si>
  <si>
    <t>ENTERGY AK INC ENTERGY ARKANSAS INC</t>
  </si>
  <si>
    <t>SJ7XXD41SQU3ZNWUJ746</t>
  </si>
  <si>
    <t>316773-DA-5</t>
  </si>
  <si>
    <t>34489*-AA-7</t>
  </si>
  <si>
    <t>3200203</t>
  </si>
  <si>
    <t>370334-CF-9</t>
  </si>
  <si>
    <t>3200210</t>
  </si>
  <si>
    <t>3200214</t>
  </si>
  <si>
    <t>3200221</t>
  </si>
  <si>
    <t>HANESBRANDS INC</t>
  </si>
  <si>
    <t>3200232</t>
  </si>
  <si>
    <t>VGRQXHF3J8VDLUA7XE92</t>
  </si>
  <si>
    <t>46625H-QJ-2</t>
  </si>
  <si>
    <t>KELLOGG COMPANY</t>
  </si>
  <si>
    <t>49338C-AB-9</t>
  </si>
  <si>
    <t>5493006I78VIN6J1BQ95</t>
  </si>
  <si>
    <t>LIBERTY MUTUAL GROUP INC</t>
  </si>
  <si>
    <t>MASSMUTUAL GLOBAL FUNDING II</t>
  </si>
  <si>
    <t>58013M-FE-9</t>
  </si>
  <si>
    <t>59217G-CT-4</t>
  </si>
  <si>
    <t>3200301</t>
  </si>
  <si>
    <t>595112-BP-7</t>
  </si>
  <si>
    <t>3200305</t>
  </si>
  <si>
    <t>609207-AB-1</t>
  </si>
  <si>
    <t>3200312</t>
  </si>
  <si>
    <t>3200323</t>
  </si>
  <si>
    <t>3200330</t>
  </si>
  <si>
    <t>1.D Z</t>
  </si>
  <si>
    <t>RIMU48P07456QXSO0R61</t>
  </si>
  <si>
    <t>QPT5LTC66EKMD3IY9D18</t>
  </si>
  <si>
    <t>709599-AS-3</t>
  </si>
  <si>
    <t>PEPSICO INC</t>
  </si>
  <si>
    <t>PRICEWATERHOUSECOOPERS LLP</t>
  </si>
  <si>
    <t>1.F Z</t>
  </si>
  <si>
    <t>74153W-CH-0</t>
  </si>
  <si>
    <t>PRICOA GLOBAL FUND</t>
  </si>
  <si>
    <t>PUBLIC SERVICE ENTERPRISE GROU PUBLIC SE</t>
  </si>
  <si>
    <t>H1J8DDZKZP6H7RWC0H53</t>
  </si>
  <si>
    <t>REGIONS FINANCIAL CORPORATION</t>
  </si>
  <si>
    <t>776743-AH-9</t>
  </si>
  <si>
    <t>WP5O65E6BMU84LNO4227</t>
  </si>
  <si>
    <t>3200403</t>
  </si>
  <si>
    <t>841504-AB-9</t>
  </si>
  <si>
    <t>84857L-AA-9</t>
  </si>
  <si>
    <t>3200410</t>
  </si>
  <si>
    <t>7E1PDLW1JL6TS0BS1G03</t>
  </si>
  <si>
    <t>3200414</t>
  </si>
  <si>
    <t>3200421</t>
  </si>
  <si>
    <t>TARGA RESOURCES PARTNERS LP</t>
  </si>
  <si>
    <t>882508-BB-9</t>
  </si>
  <si>
    <t>US BANK NATIONAL ASSOCIATION US BANK NA</t>
  </si>
  <si>
    <t>VALERO ENERGY CORP</t>
  </si>
  <si>
    <t>VALERO ENERGY PARTNERS LP</t>
  </si>
  <si>
    <t>VANGUARD GROUP INC/THE THE VANGUARD GROU</t>
  </si>
  <si>
    <t>92940P-AB-0</t>
  </si>
  <si>
    <t>WESTROCK CO</t>
  </si>
  <si>
    <t>WABTEC CORPORATION</t>
  </si>
  <si>
    <t>960386-AQ-3</t>
  </si>
  <si>
    <t>015644-A#-4</t>
  </si>
  <si>
    <t>L3I9ZG2KFGXZ61BMYR72</t>
  </si>
  <si>
    <t>13607G-LZ-5</t>
  </si>
  <si>
    <t>C4861*-AM-9</t>
  </si>
  <si>
    <t>3200501</t>
  </si>
  <si>
    <t>549300NFTY73920OYK69</t>
  </si>
  <si>
    <t>3200505</t>
  </si>
  <si>
    <t>AVOLON HOLDINGS FUNDING LTD</t>
  </si>
  <si>
    <t>05565Q-DL-9</t>
  </si>
  <si>
    <t>3200512</t>
  </si>
  <si>
    <t>BACARDI LTD</t>
  </si>
  <si>
    <t>3200523</t>
  </si>
  <si>
    <t>NOD8387QYGIZ4U0YPO95</t>
  </si>
  <si>
    <t>3200530</t>
  </si>
  <si>
    <t>HUTCHISON WHAMPOA FIN CI LTD 144A</t>
  </si>
  <si>
    <t>IHS MARKIT LTD Series 144A</t>
  </si>
  <si>
    <t>45685N-AA-4</t>
  </si>
  <si>
    <t>JOHNSON CONTROLS INTL PL</t>
  </si>
  <si>
    <t>RABOBANK NEDERLAND</t>
  </si>
  <si>
    <t>SEAGATE HDD CAYMAN</t>
  </si>
  <si>
    <t>SUMITOMO MITSUI FINANCIAL GROU</t>
  </si>
  <si>
    <t>A3158#-AC-3</t>
  </si>
  <si>
    <t>OMEGA LEASING NO 9 LTD OMEGA LEASING (NO</t>
  </si>
  <si>
    <t>213800JKM5UQHFJOTZ25</t>
  </si>
  <si>
    <t>KONINKLIJKE VOPAK VN</t>
  </si>
  <si>
    <t>KONINKLIJKE VOPAK NV</t>
  </si>
  <si>
    <t>Landsvirkjun LANDSVIRKJUN</t>
  </si>
  <si>
    <t>3500001</t>
  </si>
  <si>
    <t>023771-R9-1</t>
  </si>
  <si>
    <t>3500005</t>
  </si>
  <si>
    <t>3500009</t>
  </si>
  <si>
    <t>3500012</t>
  </si>
  <si>
    <t>3500016</t>
  </si>
  <si>
    <t>CCG RECEIVABLES TRUST CCG_18-2</t>
  </si>
  <si>
    <t>3500023</t>
  </si>
  <si>
    <t>3500030</t>
  </si>
  <si>
    <t>CRG ISSUER CRG_17-1 CRG PARTNERS TRUST C</t>
  </si>
  <si>
    <t>3500034</t>
  </si>
  <si>
    <t>14315F-AG-2</t>
  </si>
  <si>
    <t>3500041</t>
  </si>
  <si>
    <t>165183-CB-8</t>
  </si>
  <si>
    <t>165183-CC-6</t>
  </si>
  <si>
    <t>3500052</t>
  </si>
  <si>
    <t>26224H-AH-0</t>
  </si>
  <si>
    <t>FORD CREDIT AUTO OWNER TRUST F Series 14</t>
  </si>
  <si>
    <t>3500103</t>
  </si>
  <si>
    <t>3500107</t>
  </si>
  <si>
    <t>40438D-AE-9</t>
  </si>
  <si>
    <t>3500110</t>
  </si>
  <si>
    <t>3500114</t>
  </si>
  <si>
    <t>HILTON GRAND VACATIONS TRUST H Series 14</t>
  </si>
  <si>
    <t>3500118</t>
  </si>
  <si>
    <t>3500121</t>
  </si>
  <si>
    <t>3500125</t>
  </si>
  <si>
    <t>553896-AA-9</t>
  </si>
  <si>
    <t>553896-AB-7</t>
  </si>
  <si>
    <t>3500132</t>
  </si>
  <si>
    <t>55389P-AB-5</t>
  </si>
  <si>
    <t>MVW OWNER TRUST MVWOT_19-1A Series 144A</t>
  </si>
  <si>
    <t>55389P-AC-3</t>
  </si>
  <si>
    <t>MVW OWNER TRUST MVWOT_20-1A Series 144A</t>
  </si>
  <si>
    <t>55400E-AB-5</t>
  </si>
  <si>
    <t>MARLIN LEASING RECEIVABLES LLC Series 14</t>
  </si>
  <si>
    <t>3500143</t>
  </si>
  <si>
    <t>3500150</t>
  </si>
  <si>
    <t>68504L-AA-9</t>
  </si>
  <si>
    <t>68504L-AB-7</t>
  </si>
  <si>
    <t>SIERRA RECEIVABLES FUNDING COM Series 14</t>
  </si>
  <si>
    <t>TIF FUNDING II LLC TIF_20-1A Series 144A</t>
  </si>
  <si>
    <t>89690E-AF-4</t>
  </si>
  <si>
    <t>TRIP RAIL MASTER FUNDING LLC T</t>
  </si>
  <si>
    <t>UNION PACIFIC RAILROAD CO 2015</t>
  </si>
  <si>
    <t>UNITED AIRLINES 2019-2 CLASS A UNITED AI</t>
  </si>
  <si>
    <t>918286-AA-3</t>
  </si>
  <si>
    <t>92888B-AF-6</t>
  </si>
  <si>
    <t>3500201</t>
  </si>
  <si>
    <t>3500205</t>
  </si>
  <si>
    <t>APIDOS CLO APID_20-34A</t>
  </si>
  <si>
    <t>3500209</t>
  </si>
  <si>
    <t>08186U-AC-6</t>
  </si>
  <si>
    <t>3500212</t>
  </si>
  <si>
    <t>CBAM CLO MANAGEMENT CBAM_18-5A Series 14</t>
  </si>
  <si>
    <t>3500216</t>
  </si>
  <si>
    <t>3500223</t>
  </si>
  <si>
    <t>ELM CLO LTD ELM_14-1A Series 144A</t>
  </si>
  <si>
    <t>ELM CLO LTD ELM_14-1A</t>
  </si>
  <si>
    <t>3500230</t>
  </si>
  <si>
    <t>3500234</t>
  </si>
  <si>
    <t>Total - Industrial and Miscellaneous (Unaffiliated) Bonds</t>
  </si>
  <si>
    <t>4399999</t>
  </si>
  <si>
    <t>Total - Hybrid Securities</t>
  </si>
  <si>
    <t>Subtotal - Bonds - Affiliated Bank Loans - Acquired</t>
  </si>
  <si>
    <t>6499999</t>
  </si>
  <si>
    <t>Subtotal - Bonds - Unaffiliated Bank Loans - Acquired</t>
  </si>
  <si>
    <t>Total - Residential Mortgage-Backed Securities</t>
  </si>
  <si>
    <t>GENWORTH SEGUROS DE CREDIT A LA VIVIENDA</t>
  </si>
  <si>
    <t>9399999</t>
  </si>
  <si>
    <t>Total Preferred and Common Stocks</t>
  </si>
  <si>
    <t>3100028</t>
  </si>
  <si>
    <t>3800007</t>
  </si>
  <si>
    <t>3800014</t>
  </si>
  <si>
    <t>3800018</t>
  </si>
  <si>
    <t>BANK OF AMERICA CORP    1.197% 10/24/26</t>
  </si>
  <si>
    <t>3800021</t>
  </si>
  <si>
    <t>3800025</t>
  </si>
  <si>
    <t>3800029</t>
  </si>
  <si>
    <t>3800032</t>
  </si>
  <si>
    <t>3800036</t>
  </si>
  <si>
    <t>CIT GROUP INC    3.929% 06/19/24</t>
  </si>
  <si>
    <t>3800043</t>
  </si>
  <si>
    <t>3800050</t>
  </si>
  <si>
    <t>3800054</t>
  </si>
  <si>
    <t>3800061</t>
  </si>
  <si>
    <t>3800105</t>
  </si>
  <si>
    <t>3800109</t>
  </si>
  <si>
    <t>3800112</t>
  </si>
  <si>
    <t>3800116</t>
  </si>
  <si>
    <t>3800123</t>
  </si>
  <si>
    <t>3800127</t>
  </si>
  <si>
    <t>3800130</t>
  </si>
  <si>
    <t>3800134</t>
  </si>
  <si>
    <t>3800141</t>
  </si>
  <si>
    <t>3800145</t>
  </si>
  <si>
    <t>3800152</t>
  </si>
  <si>
    <t>3800163</t>
  </si>
  <si>
    <t>3800170</t>
  </si>
  <si>
    <t>3800203</t>
  </si>
  <si>
    <t>3800207</t>
  </si>
  <si>
    <t>3800214</t>
  </si>
  <si>
    <t>3800218</t>
  </si>
  <si>
    <t>3800221</t>
  </si>
  <si>
    <t>3800225</t>
  </si>
  <si>
    <t>3800232</t>
  </si>
  <si>
    <t>HSBC SECURITIES INC</t>
  </si>
  <si>
    <t>3800236</t>
  </si>
  <si>
    <t>DEUTSCHE BANK</t>
  </si>
  <si>
    <t>3800243</t>
  </si>
  <si>
    <t>3800250</t>
  </si>
  <si>
    <t>3800254</t>
  </si>
  <si>
    <t>STATOIL ASA    3.000% 04/06/27</t>
  </si>
  <si>
    <t>3800261</t>
  </si>
  <si>
    <t>Subtotal - Bonds - SVO Identified Funds</t>
  </si>
  <si>
    <t>Total - Preferred Stocks</t>
  </si>
  <si>
    <t>9999999</t>
  </si>
  <si>
    <t>P_2020_A_NAIC_SCDPT4</t>
  </si>
  <si>
    <t>072031-AG-2</t>
  </si>
  <si>
    <t>BAY AREA CALIF WTR SPPLY &amp; CON BAY AREA</t>
  </si>
  <si>
    <t>438689-JV-4</t>
  </si>
  <si>
    <t>AXIS EQUIPMENT FINANCE RECEIVA AXIS EQUI</t>
  </si>
  <si>
    <t>ABBVIE INC Series 144A</t>
  </si>
  <si>
    <t>549300TPQQDBP9GNOF40</t>
  </si>
  <si>
    <t>AIR LEASE CORPORATION    3.750% 06/01/26</t>
  </si>
  <si>
    <t>AMERICAN EXPRESS CREDIT ACCOUN AMXCA_18-</t>
  </si>
  <si>
    <t>02582J-JP-6</t>
  </si>
  <si>
    <t>WR BERKLEY CORP    5.375% 09/15/20</t>
  </si>
  <si>
    <t>110122-CA-4</t>
  </si>
  <si>
    <t>14315E-AF-7</t>
  </si>
  <si>
    <t>26875P-AL-5</t>
  </si>
  <si>
    <t>HARLEY-DAVIDSON MOTORCYCLE TRU HARLEY-DA</t>
  </si>
  <si>
    <t>44614D-AF-4</t>
  </si>
  <si>
    <t>44614D-AG-2</t>
  </si>
  <si>
    <t>47760Q-AA-1</t>
  </si>
  <si>
    <t>674599-BY-0</t>
  </si>
  <si>
    <t>Call      101.2222</t>
  </si>
  <si>
    <t>Call      102.8388</t>
  </si>
  <si>
    <t>78390X-AA-9</t>
  </si>
  <si>
    <t>Call      111.4591</t>
  </si>
  <si>
    <t>TECH DATA CORP TECH DATA CORPORATION</t>
  </si>
  <si>
    <t>88315F-AE-1</t>
  </si>
  <si>
    <t>90932L-AA-5</t>
  </si>
  <si>
    <t>90933J-AA-9</t>
  </si>
  <si>
    <t>WELLCARE HEALTH WELLCARE HEALTH PLANS IN</t>
  </si>
  <si>
    <t>WORLD OMNI AUTO RECEIVABLES TR WOART_18-</t>
  </si>
  <si>
    <t>C4862#-AD-4</t>
  </si>
  <si>
    <t>ISLAND TIMBERLANDS FINANCE COR</t>
  </si>
  <si>
    <t>Call      113.2323</t>
  </si>
  <si>
    <t>ABPN11VOHLHX6QR7XQ48</t>
  </si>
  <si>
    <t>11135F-AK-7</t>
  </si>
  <si>
    <t>CARRIER GLOBAL CORP Series 144A</t>
  </si>
  <si>
    <t>Subtotal - Common Stock - U.S. Life Insurer</t>
  </si>
  <si>
    <t xml:space="preserve">CUSIP Identification </t>
  </si>
  <si>
    <t xml:space="preserve">Fair Value </t>
  </si>
  <si>
    <t xml:space="preserve">Source Used to Obtain Fair Value </t>
  </si>
  <si>
    <t>2A</t>
  </si>
  <si>
    <t>US TREASURY</t>
  </si>
  <si>
    <t>2</t>
  </si>
  <si>
    <t>AO</t>
  </si>
  <si>
    <t>JD</t>
  </si>
  <si>
    <t>912828-R3-6</t>
  </si>
  <si>
    <t>{BLANK}</t>
  </si>
  <si>
    <t>0400000</t>
  </si>
  <si>
    <t>0699999</t>
  </si>
  <si>
    <t>N/A</t>
  </si>
  <si>
    <t>1800008</t>
  </si>
  <si>
    <t>040654-XY-6</t>
  </si>
  <si>
    <t>AUBURN UNIV ALA GEN FEE REV</t>
  </si>
  <si>
    <t>64971M-T4-4</t>
  </si>
  <si>
    <t>549300C8XO7EXTX2XU71</t>
  </si>
  <si>
    <t>650035-TD-0</t>
  </si>
  <si>
    <t>FL</t>
  </si>
  <si>
    <t>2799999</t>
  </si>
  <si>
    <t>002824-BA-7</t>
  </si>
  <si>
    <t>ABBOTT LABORATORIES</t>
  </si>
  <si>
    <t>AETNA INC AETNA INC</t>
  </si>
  <si>
    <t>AIR PRODUCTS AND CHEMICALS INC</t>
  </si>
  <si>
    <t>3200018</t>
  </si>
  <si>
    <t>3200025</t>
  </si>
  <si>
    <t>AMERIPRISE FINANCIAL INC</t>
  </si>
  <si>
    <t>3200029</t>
  </si>
  <si>
    <t>4.C FE</t>
  </si>
  <si>
    <t>3200036</t>
  </si>
  <si>
    <t>ATHENE GLOBAL FUNDING</t>
  </si>
  <si>
    <t>3200043</t>
  </si>
  <si>
    <t>3200047</t>
  </si>
  <si>
    <t>3200050</t>
  </si>
  <si>
    <t>06051G-HY-8</t>
  </si>
  <si>
    <t>3200054</t>
  </si>
  <si>
    <t>3200058</t>
  </si>
  <si>
    <t>3200061</t>
  </si>
  <si>
    <t>08576P-AB-7</t>
  </si>
  <si>
    <t>3200065</t>
  </si>
  <si>
    <t>3200072</t>
  </si>
  <si>
    <t>110122-CN-6</t>
  </si>
  <si>
    <t>11134L-AR-0</t>
  </si>
  <si>
    <t>BUNGE LIMITED FINANCE CORP</t>
  </si>
  <si>
    <t>3200083</t>
  </si>
  <si>
    <t>CIT GROUP INC</t>
  </si>
  <si>
    <t>3200090</t>
  </si>
  <si>
    <t>126650-CV-0</t>
  </si>
  <si>
    <t>CVS CAREMARK CORP</t>
  </si>
  <si>
    <t>3200109</t>
  </si>
  <si>
    <t>CD30XVRLT4QO00B1C706</t>
  </si>
  <si>
    <t>15189W-AK-6</t>
  </si>
  <si>
    <t>CHEVRON USA INC</t>
  </si>
  <si>
    <t>3200116</t>
  </si>
  <si>
    <t>CHICK-FIL-A INC</t>
  </si>
  <si>
    <t>17275R-AN-2</t>
  </si>
  <si>
    <t>3200127</t>
  </si>
  <si>
    <t>COLONIAL ENTERPRISES INC</t>
  </si>
  <si>
    <t>20030N-CS-8</t>
  </si>
  <si>
    <t>3200134</t>
  </si>
  <si>
    <t>3200138</t>
  </si>
  <si>
    <t>3200145</t>
  </si>
  <si>
    <t>22822V-AG-6</t>
  </si>
  <si>
    <t>3200149</t>
  </si>
  <si>
    <t>3200152</t>
  </si>
  <si>
    <t>3200156</t>
  </si>
  <si>
    <t>3200163</t>
  </si>
  <si>
    <t>260543-CN-1</t>
  </si>
  <si>
    <t>DOW CHEMICAL COMPANY THE</t>
  </si>
  <si>
    <t>3200167</t>
  </si>
  <si>
    <t>3200170</t>
  </si>
  <si>
    <t>3200174</t>
  </si>
  <si>
    <t>EMERA US FINANCE LP</t>
  </si>
  <si>
    <t>5493008K8W3OKZE54J59</t>
  </si>
  <si>
    <t>3200181</t>
  </si>
  <si>
    <t>FIFTH THIRD BANCORP</t>
  </si>
  <si>
    <t>3200192</t>
  </si>
  <si>
    <t>34490@-AH-7</t>
  </si>
  <si>
    <t>NATIONAL FOOTBALL LEAGUE TRUST NATIONAL</t>
  </si>
  <si>
    <t>3200207</t>
  </si>
  <si>
    <t>GLAXOSK CAP INC GLAXOSMITHKLINE CAPITAL</t>
  </si>
  <si>
    <t>3200218</t>
  </si>
  <si>
    <t>3200225</t>
  </si>
  <si>
    <t>3200229</t>
  </si>
  <si>
    <t>HUMANA INC HUMANA INC</t>
  </si>
  <si>
    <t>BX51Z52KU3O80ZQ66M29</t>
  </si>
  <si>
    <t>3200236</t>
  </si>
  <si>
    <t>INTEL CORP INTEL CORPORATION</t>
  </si>
  <si>
    <t>3200243</t>
  </si>
  <si>
    <t>8I5DZWZKVSZI1NUHU748</t>
  </si>
  <si>
    <t>3200247</t>
  </si>
  <si>
    <t>3200250</t>
  </si>
  <si>
    <t>3200254</t>
  </si>
  <si>
    <t>3200258</t>
  </si>
  <si>
    <t>3200261</t>
  </si>
  <si>
    <t>3200265</t>
  </si>
  <si>
    <t>LAM RSRCH CORP LAM RESEARCH CORPORATION</t>
  </si>
  <si>
    <t>LAM RESEARCH CORPORATION</t>
  </si>
  <si>
    <t>MB0UERO0RDFKU8258G77</t>
  </si>
  <si>
    <t>3200272</t>
  </si>
  <si>
    <t>MARATHON PETROLEUM CORP</t>
  </si>
  <si>
    <t>3200283</t>
  </si>
  <si>
    <t>3200290</t>
  </si>
  <si>
    <t>57636Q-AR-5</t>
  </si>
  <si>
    <t>MCDONALDS CORPORATION</t>
  </si>
  <si>
    <t>MCKINSEY &amp; CO</t>
  </si>
  <si>
    <t>594918-BJ-2</t>
  </si>
  <si>
    <t>MICROSOFT CORP MICROSOFT CORPORATION</t>
  </si>
  <si>
    <t>3200309</t>
  </si>
  <si>
    <t>3200316</t>
  </si>
  <si>
    <t>63636#-AG-1</t>
  </si>
  <si>
    <t>3200327</t>
  </si>
  <si>
    <t>TAE73CY392TBWJ3O3305</t>
  </si>
  <si>
    <t>3200334</t>
  </si>
  <si>
    <t>3S1GHB0TEH85KX44SB51</t>
  </si>
  <si>
    <t>3200338</t>
  </si>
  <si>
    <t>3200341</t>
  </si>
  <si>
    <t>3200345</t>
  </si>
  <si>
    <t>PNC FINANCIAL SERVICES GROUP PNC FINANCI</t>
  </si>
  <si>
    <t>AD6GFRVSDT01YPT1CS68</t>
  </si>
  <si>
    <t>3200349</t>
  </si>
  <si>
    <t>701094-AM-6</t>
  </si>
  <si>
    <t>3200352</t>
  </si>
  <si>
    <t>PENSKE TRUCK LEASING CO LP</t>
  </si>
  <si>
    <t>PENSKE TRUCK LEASING COMPANY Series 144A</t>
  </si>
  <si>
    <t>3200356</t>
  </si>
  <si>
    <t>PNC EQUIPMENT FINANCE LLC PNC EQUIPMENT</t>
  </si>
  <si>
    <t>PNC EQUIPMENT FINANCE LLC SERI</t>
  </si>
  <si>
    <t>3200363</t>
  </si>
  <si>
    <t>1.F</t>
  </si>
  <si>
    <t>3200370</t>
  </si>
  <si>
    <t>3200374</t>
  </si>
  <si>
    <t>747262-AY-9</t>
  </si>
  <si>
    <t>QVC INC</t>
  </si>
  <si>
    <t>RELIANCE STEEL &amp; ALUMINUM CO. RELIANCE S</t>
  </si>
  <si>
    <t>RELIANCE STEEL &amp; ALUMINUM CO.</t>
  </si>
  <si>
    <t>RELIANCE STANDARD LIFE GLOBAL</t>
  </si>
  <si>
    <t>3200381</t>
  </si>
  <si>
    <t>3200392</t>
  </si>
  <si>
    <t>80282K-AZ-9</t>
  </si>
  <si>
    <t>SCHLUMBERGER HOLDINGS CORP Series 144A</t>
  </si>
  <si>
    <t>808513-BB-0</t>
  </si>
  <si>
    <t>SIRIUS XM RADIO INC</t>
  </si>
  <si>
    <t>SOUTH JERSEY IND INC SOUTH JERSEY INDUST</t>
  </si>
  <si>
    <t>STANLEY BLACK &amp; DECKER INC</t>
  </si>
  <si>
    <t>3200407</t>
  </si>
  <si>
    <t>549300ZFEEJ2IP5VME73</t>
  </si>
  <si>
    <t>3200418</t>
  </si>
  <si>
    <t>TD AMERITRADE HLDG CORP</t>
  </si>
  <si>
    <t>3200425</t>
  </si>
  <si>
    <t>TOYOTA MOTOR CREDIT CORP</t>
  </si>
  <si>
    <t>3200429</t>
  </si>
  <si>
    <t>3200432</t>
  </si>
  <si>
    <t>3200436</t>
  </si>
  <si>
    <t>US BANK NA CINCINNATI</t>
  </si>
  <si>
    <t>904764-AX-5</t>
  </si>
  <si>
    <t>907818-ES-3</t>
  </si>
  <si>
    <t>910637-V*-5</t>
  </si>
  <si>
    <t>3200443</t>
  </si>
  <si>
    <t>91159H-HU-7</t>
  </si>
  <si>
    <t>549300GHBMY8T5GXDE41</t>
  </si>
  <si>
    <t>3200447</t>
  </si>
  <si>
    <t>3200450</t>
  </si>
  <si>
    <t>549300XTO5VR8SKV1V74</t>
  </si>
  <si>
    <t>3200454</t>
  </si>
  <si>
    <t>WAL-MART STORES INC</t>
  </si>
  <si>
    <t>3200461</t>
  </si>
  <si>
    <t>8MYN82XMYQH89CTMTH67</t>
  </si>
  <si>
    <t>949746-RS-2</t>
  </si>
  <si>
    <t>KB1H1DSPRFMYMCUFXT09</t>
  </si>
  <si>
    <t>3200465</t>
  </si>
  <si>
    <t>3200472</t>
  </si>
  <si>
    <t>3200483</t>
  </si>
  <si>
    <t>008474-C#-3</t>
  </si>
  <si>
    <t>ALGOMA CENTRAL CORP</t>
  </si>
  <si>
    <t>BANK OF NOVA SCOTIA SCOTIABAN</t>
  </si>
  <si>
    <t>3200490</t>
  </si>
  <si>
    <t>98TPTUM4IVMFCZBCUR27</t>
  </si>
  <si>
    <t>3200509</t>
  </si>
  <si>
    <t>R0MUWSFPU8MPRO8K5P83</t>
  </si>
  <si>
    <t>3200516</t>
  </si>
  <si>
    <t>CREDIT AGRICOLE SA/LONDON Series 144A</t>
  </si>
  <si>
    <t>3200527</t>
  </si>
  <si>
    <t>STATOIL ASA</t>
  </si>
  <si>
    <t>3200534</t>
  </si>
  <si>
    <t>IHS MARKIT LTD</t>
  </si>
  <si>
    <t>3200538</t>
  </si>
  <si>
    <t>3200541</t>
  </si>
  <si>
    <t>3200545</t>
  </si>
  <si>
    <t>MITSUBISHI UFJ FINANCIAL GROUP MITSUBISH</t>
  </si>
  <si>
    <t>3200549</t>
  </si>
  <si>
    <t>60687Y-BF-5</t>
  </si>
  <si>
    <t>3200552</t>
  </si>
  <si>
    <t>63254A-AP-3</t>
  </si>
  <si>
    <t>3200556</t>
  </si>
  <si>
    <t>DG3RU1DBUFHT4ZF9WN62</t>
  </si>
  <si>
    <t>RECKITT BENCKISER TREASURY SER Series 14</t>
  </si>
  <si>
    <t>RECKITT BENCKISER TREASURY SER</t>
  </si>
  <si>
    <t>3200563</t>
  </si>
  <si>
    <t>86562M-AU-4</t>
  </si>
  <si>
    <t>3200570</t>
  </si>
  <si>
    <t>3200574</t>
  </si>
  <si>
    <t>3200581</t>
  </si>
  <si>
    <t>THAMES WTR UTILS THAMES WATER UTILITIES</t>
  </si>
  <si>
    <t>3300000</t>
  </si>
  <si>
    <t>BXG RECEIVABLES NOTE TRUST BXG SERIES 14</t>
  </si>
  <si>
    <t>12509K-AD-8</t>
  </si>
  <si>
    <t>CCG RECEIVABLES TRUST CCG_19-2 Series 14</t>
  </si>
  <si>
    <t>12510G-AC-6</t>
  </si>
  <si>
    <t>CLI FUNDING LLC CLIF_19-1A Series 144A</t>
  </si>
  <si>
    <t>3500027</t>
  </si>
  <si>
    <t>14312Q-AF-3</t>
  </si>
  <si>
    <t>CARMX_18-2</t>
  </si>
  <si>
    <t>3500038</t>
  </si>
  <si>
    <t>165183-BQ-6</t>
  </si>
  <si>
    <t>3500045</t>
  </si>
  <si>
    <t>165183-BR-4</t>
  </si>
  <si>
    <t>3500049</t>
  </si>
  <si>
    <t>3500056</t>
  </si>
  <si>
    <t>24704A-AE-6</t>
  </si>
  <si>
    <t>3500063</t>
  </si>
  <si>
    <t>3500067</t>
  </si>
  <si>
    <t>3500070</t>
  </si>
  <si>
    <t>3500074</t>
  </si>
  <si>
    <t>34532A-AG-8</t>
  </si>
  <si>
    <t>3500078</t>
  </si>
  <si>
    <t>34532R-AB-2</t>
  </si>
  <si>
    <t>3500081</t>
  </si>
  <si>
    <t>34532R-AC-0</t>
  </si>
  <si>
    <t>3500085</t>
  </si>
  <si>
    <t>3500092</t>
  </si>
  <si>
    <t>GM FINANCIAL CONSUMER AUTOMOBI GM FINANC</t>
  </si>
  <si>
    <t>362590-AF-8</t>
  </si>
  <si>
    <t>38013F-AG-6</t>
  </si>
  <si>
    <t>39154T-AY-4</t>
  </si>
  <si>
    <t>40438F-AF-1</t>
  </si>
  <si>
    <t>HIN TIMESHARE TRUST HINTT_20-A Series 14</t>
  </si>
  <si>
    <t>HILTON GRAND VACATIONS TRUST H</t>
  </si>
  <si>
    <t>43284H-AA-7</t>
  </si>
  <si>
    <t>HGVT_19-AA</t>
  </si>
  <si>
    <t>43284H-AB-5</t>
  </si>
  <si>
    <t>43284H-AC-3</t>
  </si>
  <si>
    <t>3500129</t>
  </si>
  <si>
    <t>553894-AB-2</t>
  </si>
  <si>
    <t>MVW OWNER TRUST MVWOT_19-2A</t>
  </si>
  <si>
    <t>3500136</t>
  </si>
  <si>
    <t>55400E-AA-7</t>
  </si>
  <si>
    <t>MARLIN LEASING RECEIVABLES LLC</t>
  </si>
  <si>
    <t>3500147</t>
  </si>
  <si>
    <t>65341K-BA-3</t>
  </si>
  <si>
    <t>3500154</t>
  </si>
  <si>
    <t>SIERRA RECEIVABLES FUNDING COM</t>
  </si>
  <si>
    <t>3500158</t>
  </si>
  <si>
    <t>3500161</t>
  </si>
  <si>
    <t>3500165</t>
  </si>
  <si>
    <t>3500169</t>
  </si>
  <si>
    <t>SPIRIT AIRLINES 2017-1 CLASS A</t>
  </si>
  <si>
    <t>3500172</t>
  </si>
  <si>
    <t>3500176</t>
  </si>
  <si>
    <t>TEXTAINER MARINE CONTAINERS LT Series 14</t>
  </si>
  <si>
    <t>3500183</t>
  </si>
  <si>
    <t>90932J-AA-0</t>
  </si>
  <si>
    <t>3500190</t>
  </si>
  <si>
    <t>VERIZON OWNER TRUST VZOT_18-1 Series 144</t>
  </si>
  <si>
    <t>3500194</t>
  </si>
  <si>
    <t>AIR CANADA 2015-1 CLASS B PASS SERIES 14</t>
  </si>
  <si>
    <t>BLACKBIRD CAPITAL AIRCRAFT BBI</t>
  </si>
  <si>
    <t>CARLYLE GLOBAL MARKET STRATEGI</t>
  </si>
  <si>
    <t>GALAXY CLO LTD GALXY_15-20A</t>
  </si>
  <si>
    <t>GLOBAL SC FINANCE SRL SEACO_20 Series 14</t>
  </si>
  <si>
    <t>3500227</t>
  </si>
  <si>
    <t>55818H-BG-2</t>
  </si>
  <si>
    <t>3500238</t>
  </si>
  <si>
    <t>VOYA CLO LTD VOYA_14-4A</t>
  </si>
  <si>
    <t>3599999</t>
  </si>
  <si>
    <t>Subtotal - Bonds - Hybrid Securities - Other Loan-Backed and Structured Securities</t>
  </si>
  <si>
    <t>Subtotal - Bonds - Unaffiliated Bank Loans - Issued</t>
  </si>
  <si>
    <t>9100000</t>
  </si>
  <si>
    <t>SCDPT3</t>
  </si>
  <si>
    <t>AMGEN INC    2.200% 02/21/27</t>
  </si>
  <si>
    <t>BROADCOM INC    4.110% 09/15/28</t>
  </si>
  <si>
    <t>CARRIER GLOBAL CORP    2.493% 02/15/27</t>
  </si>
  <si>
    <t>3800047</t>
  </si>
  <si>
    <t>CHICK-FIL-A INC    1.820% 10/29/27</t>
  </si>
  <si>
    <t>CHICK-FIL-A INC    1.970% 10/29/29</t>
  </si>
  <si>
    <t>3800058</t>
  </si>
  <si>
    <t>COMCAST CORP    2.350% 01/15/27</t>
  </si>
  <si>
    <t>3800065</t>
  </si>
  <si>
    <t>DXC TECHNOLOGY CO    4.000% 04/15/23</t>
  </si>
  <si>
    <t>3800069</t>
  </si>
  <si>
    <t>3800072</t>
  </si>
  <si>
    <t>3800076</t>
  </si>
  <si>
    <t>3800083</t>
  </si>
  <si>
    <t>3800087</t>
  </si>
  <si>
    <t>3800090</t>
  </si>
  <si>
    <t>3800094</t>
  </si>
  <si>
    <t>HARDWOOD FUNDING LLC    3.860% 06/07/28</t>
  </si>
  <si>
    <t>3800138</t>
  </si>
  <si>
    <t>3800149</t>
  </si>
  <si>
    <t>3800156</t>
  </si>
  <si>
    <t>3800167</t>
  </si>
  <si>
    <t>3800174</t>
  </si>
  <si>
    <t>3800178</t>
  </si>
  <si>
    <t>3800181</t>
  </si>
  <si>
    <t>3800185</t>
  </si>
  <si>
    <t>3800189</t>
  </si>
  <si>
    <t>3800192</t>
  </si>
  <si>
    <t>3800196</t>
  </si>
  <si>
    <t>3800229</t>
  </si>
  <si>
    <t>3800247</t>
  </si>
  <si>
    <t>FLEXTRONICS INTL LTD.    3.750% 02/01/26</t>
  </si>
  <si>
    <t>3800258</t>
  </si>
  <si>
    <t>3800265</t>
  </si>
  <si>
    <t>3800269</t>
  </si>
  <si>
    <t>3800272</t>
  </si>
  <si>
    <t>3800276</t>
  </si>
  <si>
    <t>3800283</t>
  </si>
  <si>
    <t>Subtotal - Preferred Stocks - Industrial and Miscellaneous (Unaffiliated) Perpetual Preferred</t>
  </si>
  <si>
    <t>8599999</t>
  </si>
  <si>
    <t>Subtotal - Preferred Stocks - Industrial and Miscellaneous (Unaffiliated) Redeemable Preferred</t>
  </si>
  <si>
    <t>9799998</t>
  </si>
  <si>
    <t>Total - Common Stocks</t>
  </si>
  <si>
    <t xml:space="preserve">Name of Purchaser </t>
  </si>
  <si>
    <t>DESCHUTES &amp; JEFFERSON CNTYS OR MUNI BND</t>
  </si>
  <si>
    <t>2400003</t>
  </si>
  <si>
    <t>WASHINGTON CNTY ORE SCH DIST N</t>
  </si>
  <si>
    <t>CAYCE S C WTRWKS &amp; SEW REV MUNI BND REV</t>
  </si>
  <si>
    <t>CAYCE S C WTRWKS &amp; SEW REV</t>
  </si>
  <si>
    <t>JEA FLA ELEC SYS REV</t>
  </si>
  <si>
    <t>00912X-BA-1</t>
  </si>
  <si>
    <t>02377B-AC-0</t>
  </si>
  <si>
    <t>CIGNA CORP Series 144A</t>
  </si>
  <si>
    <t>549300XU259059MM1Y11</t>
  </si>
  <si>
    <t>CHASE ISSUANCE TRUST CHAIT_18-</t>
  </si>
  <si>
    <t>DAIMLER FINANCE NORTH AMERICA SERIES 144</t>
  </si>
  <si>
    <t>233851-CA-0</t>
  </si>
  <si>
    <t>24702J-AE-9</t>
  </si>
  <si>
    <t>24737A-AA-5</t>
  </si>
  <si>
    <t>364725-BB-6</t>
  </si>
  <si>
    <t>38148L-AA-4</t>
  </si>
  <si>
    <t>AGX0G2MXE54NFNNICD28</t>
  </si>
  <si>
    <t>717081-DX-8</t>
  </si>
  <si>
    <t>83546D-AD-0</t>
  </si>
  <si>
    <t>SONIC CAPITAL LLC SONIC_16-1A</t>
  </si>
  <si>
    <t>UNITED AIRLINES 2015-1 CLASS A</t>
  </si>
  <si>
    <t>UNITED AIRLINES 2016-2 CLASS B UNITED AI</t>
  </si>
  <si>
    <t>913017-CN-7</t>
  </si>
  <si>
    <t>913903-AR-1</t>
  </si>
  <si>
    <t>Call      101.0000</t>
  </si>
  <si>
    <t>45672B-B#-3</t>
  </si>
  <si>
    <t>INFORMA PLC    3.930% 01/14/25</t>
  </si>
  <si>
    <t>Schedule D - Part 5 - Long Term Bonds and Stocks Acquired and Fully Disposed Of</t>
  </si>
  <si>
    <t>AIR LEASE CORPORATION    2.300% 02/01/25</t>
  </si>
  <si>
    <t>CAPITAL ONE BANK</t>
  </si>
  <si>
    <t>LEVI STRAUSS &amp; CO Series 144A</t>
  </si>
  <si>
    <t>MPLX LP    6.250% 10/15/22</t>
  </si>
  <si>
    <t>P_2020_A_NAIC_SCDPT6SN1</t>
  </si>
  <si>
    <t>Subtotal - Common Stock - U.S. Health Entity</t>
  </si>
  <si>
    <t xml:space="preserve">Collateral Type </t>
  </si>
  <si>
    <t xml:space="preserve">Call Price </t>
  </si>
  <si>
    <t>Bloomberg</t>
  </si>
  <si>
    <t>0100002</t>
  </si>
  <si>
    <t>0100006</t>
  </si>
  <si>
    <t>0100013</t>
  </si>
  <si>
    <t>0100017</t>
  </si>
  <si>
    <t>0100020</t>
  </si>
  <si>
    <t>Subtotal - Bonds - U.S. Governments - Issuer Obligations</t>
  </si>
  <si>
    <t>5493001N1YCXNI1O7K10</t>
  </si>
  <si>
    <t>Subtotal - Bonds - U.S. States, Territories and Possessions - Other Loan-Backed and Structured Securities</t>
  </si>
  <si>
    <t>1999999</t>
  </si>
  <si>
    <t>2199999</t>
  </si>
  <si>
    <t>ALABAMA ECON SETTLEMENT AUTH B ALABAMA E</t>
  </si>
  <si>
    <t>ALABAMA ECONOMIC SETTLEMENT AU</t>
  </si>
  <si>
    <t>040654-XX-8</t>
  </si>
  <si>
    <t>2500004</t>
  </si>
  <si>
    <t>050589-QZ-6</t>
  </si>
  <si>
    <t>2500011</t>
  </si>
  <si>
    <t>2500015</t>
  </si>
  <si>
    <t>HARRIS CNTY TEX MET TRAN AUTH</t>
  </si>
  <si>
    <t>ILLINOIS FIN MUNI BND REV</t>
  </si>
  <si>
    <t>INDIANA ST FINANCE AUTHORITY INDIANA ST</t>
  </si>
  <si>
    <t>LOUISIANA (STATE OF)</t>
  </si>
  <si>
    <t>2500022</t>
  </si>
  <si>
    <t>73474T-AN-0</t>
  </si>
  <si>
    <t>549300ZJ87IUCDSX4306</t>
  </si>
  <si>
    <t>2500040</t>
  </si>
  <si>
    <t>549300VTAT608CNZ5827</t>
  </si>
  <si>
    <t>49271V-AH-3</t>
  </si>
  <si>
    <t>KEURIG DR PEPPER INC</t>
  </si>
  <si>
    <t>ACE INA HOLDINGS INC</t>
  </si>
  <si>
    <t>AETNA INC</t>
  </si>
  <si>
    <t>ALLIANT ENERGY FINANCE LLC</t>
  </si>
  <si>
    <t>ALLISON TRANSMISSION INC Series 144A</t>
  </si>
  <si>
    <t>ARCHER-DANIELS-MIDLAND COMPANY</t>
  </si>
  <si>
    <t>05531F-BF-9</t>
  </si>
  <si>
    <t>06051G-GZ-6</t>
  </si>
  <si>
    <t>096630-AC-2</t>
  </si>
  <si>
    <t>096630-AD-0</t>
  </si>
  <si>
    <t>3200069</t>
  </si>
  <si>
    <t>3200076</t>
  </si>
  <si>
    <t>BUCKEYE PARTNERS LP</t>
  </si>
  <si>
    <t>3200087</t>
  </si>
  <si>
    <t>3200094</t>
  </si>
  <si>
    <t>3200098</t>
  </si>
  <si>
    <t>CAPITAL ONE FIN CORP CAPITAL ONE FINANCI</t>
  </si>
  <si>
    <t>ZUE8T73ROZOF6FLBAR73</t>
  </si>
  <si>
    <t>14042E-3Y-4</t>
  </si>
  <si>
    <t>207ALC1P1YM0OVDV0K75</t>
  </si>
  <si>
    <t>CCU46N3GJMF4OK4N7U60</t>
  </si>
  <si>
    <t>VA8TZDWPEZYU430RZ444</t>
  </si>
  <si>
    <t>171798-AD-3</t>
  </si>
  <si>
    <t>20030N-BW-0</t>
  </si>
  <si>
    <t>COMCAST CORP COMCAST CORPORATION</t>
  </si>
  <si>
    <t>224044-CH-8</t>
  </si>
  <si>
    <t>WALT DISNEY COMPANY</t>
  </si>
  <si>
    <t>256677-AC-9</t>
  </si>
  <si>
    <t>DOWDUPONT INC</t>
  </si>
  <si>
    <t>26441C-AN-5</t>
  </si>
  <si>
    <t>E TRADE FINANCIAL CORP</t>
  </si>
  <si>
    <t>82DYEISM090VG8LTLS26</t>
  </si>
  <si>
    <t>3200178</t>
  </si>
  <si>
    <t>ENTERGY ARKANSAS INC</t>
  </si>
  <si>
    <t>3200185</t>
  </si>
  <si>
    <t>3200189</t>
  </si>
  <si>
    <t>340711-AV-2</t>
  </si>
  <si>
    <t>340711-AW-0</t>
  </si>
  <si>
    <t>3200196</t>
  </si>
  <si>
    <t>GEORGIA-PACIFIC LLC Series 144A</t>
  </si>
  <si>
    <t>GX5LWVWZLL5S4W1L2F20</t>
  </si>
  <si>
    <t>HARDWOOD FUNDING LLC</t>
  </si>
  <si>
    <t>41242*-BR-2</t>
  </si>
  <si>
    <t>ITR CONCESSION CO LLC</t>
  </si>
  <si>
    <t>459200-JQ-5</t>
  </si>
  <si>
    <t>466313-AG-8</t>
  </si>
  <si>
    <t>466313-AH-6</t>
  </si>
  <si>
    <t>48121@-AG-6</t>
  </si>
  <si>
    <t>549300GLKVIO8YRCYN02</t>
  </si>
  <si>
    <t>512807-AS-7</t>
  </si>
  <si>
    <t>LEGGETT AND PLATT INCORPORATED LEGGETT A</t>
  </si>
  <si>
    <t>3200269</t>
  </si>
  <si>
    <t>QUR0DG15Z6FFGYCHH861</t>
  </si>
  <si>
    <t>LINCOLN NATIONAL CORPORATION LINCOLN NAT</t>
  </si>
  <si>
    <t>3200276</t>
  </si>
  <si>
    <t>55336V-AQ-3</t>
  </si>
  <si>
    <t>56540#-AA-3</t>
  </si>
  <si>
    <t>3200287</t>
  </si>
  <si>
    <t>57629W-CE-8</t>
  </si>
  <si>
    <t>MCCORMICK &amp; COMPANY INCORPORAT</t>
  </si>
  <si>
    <t>3200294</t>
  </si>
  <si>
    <t>959800RXUB765QMP6986</t>
  </si>
  <si>
    <t>MEDTRONIC INC</t>
  </si>
  <si>
    <t>3200298</t>
  </si>
  <si>
    <t>63615#-AG-6</t>
  </si>
  <si>
    <t>637432-NL-5</t>
  </si>
  <si>
    <t>646025-B#-2</t>
  </si>
  <si>
    <t>NEW YORK  PRESBYTERIAN HOSP</t>
  </si>
  <si>
    <t>549300H5GUKWH3CAB355</t>
  </si>
  <si>
    <t>68217F-AA-0</t>
  </si>
  <si>
    <t>123WALMHY1GZXG2YDL90</t>
  </si>
  <si>
    <t>PARKER HANNIFIN CORP</t>
  </si>
  <si>
    <t>5493002CONDB4N2HKI23</t>
  </si>
  <si>
    <t>73020*-AJ-2</t>
  </si>
  <si>
    <t>PORTLAND GENERAL ELECTRIC COMP</t>
  </si>
  <si>
    <t>3200367</t>
  </si>
  <si>
    <t>PRINCIPAL LIFE GLOBAL FUNDING</t>
  </si>
  <si>
    <t>QUALCOMM INC QUALCOMM INCORPORATED</t>
  </si>
  <si>
    <t>RPM INTERNATIONAL INC RPM INTERNATIONAL</t>
  </si>
  <si>
    <t>3200378</t>
  </si>
  <si>
    <t>3200385</t>
  </si>
  <si>
    <t>776743-AC-0</t>
  </si>
  <si>
    <t>3200389</t>
  </si>
  <si>
    <t>78355H-KN-8</t>
  </si>
  <si>
    <t>3200396</t>
  </si>
  <si>
    <t>82967N-BE-7</t>
  </si>
  <si>
    <t>855244-AV-1</t>
  </si>
  <si>
    <t>549300MJCC12LU768G81</t>
  </si>
  <si>
    <t>GANNETT CO INC Series 144A</t>
  </si>
  <si>
    <t>N1GZ7BBF3NP8GI976H15</t>
  </si>
  <si>
    <t>91913Y-BB-5</t>
  </si>
  <si>
    <t>929089-AD-2</t>
  </si>
  <si>
    <t>3200458</t>
  </si>
  <si>
    <t>94106*-AF-3</t>
  </si>
  <si>
    <t>3200469</t>
  </si>
  <si>
    <t>960413-AF-9</t>
  </si>
  <si>
    <t>960413-AT-9</t>
  </si>
  <si>
    <t>3200476</t>
  </si>
  <si>
    <t>WOLVERINE WORLD WIDE INC Series 144A</t>
  </si>
  <si>
    <t>3200487</t>
  </si>
  <si>
    <t>96OVUWEW5D4YX6PFXD91</t>
  </si>
  <si>
    <t>3200494</t>
  </si>
  <si>
    <t>3200498</t>
  </si>
  <si>
    <t>00973R-AD-5</t>
  </si>
  <si>
    <t>00973R-AE-3</t>
  </si>
  <si>
    <t>BPCE SA</t>
  </si>
  <si>
    <t>09659W-2L-7</t>
  </si>
  <si>
    <t>21688A-AE-2</t>
  </si>
  <si>
    <t>CREDIT AGRICOLE SA/LONDON</t>
  </si>
  <si>
    <t>25156P-AY-9</t>
  </si>
  <si>
    <t>43761A-D#-0</t>
  </si>
  <si>
    <t>45326Y-A*-8</t>
  </si>
  <si>
    <t>TG9YHPB3WOAJQYJF5Y59</t>
  </si>
  <si>
    <t>MARVELL TECH GRP LTD. MARVELL TECHNOLOGY</t>
  </si>
  <si>
    <t>NATIONAL AUSTRALIA BANK LIMITE NATIONAL</t>
  </si>
  <si>
    <t>RABOBANK NEDERLAND Series 144A</t>
  </si>
  <si>
    <t>3200567</t>
  </si>
  <si>
    <t>3200578</t>
  </si>
  <si>
    <t>3200585</t>
  </si>
  <si>
    <t>3200589</t>
  </si>
  <si>
    <t>SBM DEEP PANUKE SA</t>
  </si>
  <si>
    <t>3200592</t>
  </si>
  <si>
    <t>Subtotal - Bonds - Industrial and Miscellaneous (Unaffiliated) - Commercial Mortgage-Backed Securities</t>
  </si>
  <si>
    <t>AMERICAN AIRLINES 2016-3 CLASS AMERICAN</t>
  </si>
  <si>
    <t>6</t>
  </si>
  <si>
    <t>04364Y-AD-9</t>
  </si>
  <si>
    <t>04364Y-AE-7</t>
  </si>
  <si>
    <t>BXG RECEIVABLES NOTE TRUST BXG Series 14</t>
  </si>
  <si>
    <t>05608T-AB-7</t>
  </si>
  <si>
    <t>CCG RECEIVABLES TRUST CCG_18-1 Series 14</t>
  </si>
  <si>
    <t>CLI FUNDING LLC CLIF_20-1A Series 144A</t>
  </si>
  <si>
    <t>12563L-AS-6</t>
  </si>
  <si>
    <t>CITIBANK CREDIT CARD ISSUANCE CCCIT_18-A</t>
  </si>
  <si>
    <t>FMAN</t>
  </si>
  <si>
    <t>29373K-AC-7</t>
  </si>
  <si>
    <t>34528H-AB-0</t>
  </si>
  <si>
    <t>361886-CN-2</t>
  </si>
  <si>
    <t>3500089</t>
  </si>
  <si>
    <t>GM FINANCIAL AUTOMOBILE LEASIN GM FINANC</t>
  </si>
  <si>
    <t>3500096</t>
  </si>
  <si>
    <t>543190-AA-0</t>
  </si>
  <si>
    <t>55316E-AE-2</t>
  </si>
  <si>
    <t>MVW OWNER TRUST MVWOT_14-1A Series 144A</t>
  </si>
  <si>
    <t>82653G-AA-0</t>
  </si>
  <si>
    <t>SPIRIT AIRLINES 2017-1 CLASS A SPIRIT AI</t>
  </si>
  <si>
    <t>89680H-AA-0</t>
  </si>
  <si>
    <t>VSE VOI MORTGAGE LLC VSTNA_18-</t>
  </si>
  <si>
    <t>3500187</t>
  </si>
  <si>
    <t>92348R-AD-0</t>
  </si>
  <si>
    <t>92349F-AD-5</t>
  </si>
  <si>
    <t>VERIZON OWNER TRUST VZOT_18-1</t>
  </si>
  <si>
    <t>92887K-AF-7</t>
  </si>
  <si>
    <t>WENDYS FUNDING LLC WEN_19-1A Series 144A</t>
  </si>
  <si>
    <t>3500198</t>
  </si>
  <si>
    <t>08186P-AC-7</t>
  </si>
  <si>
    <t>09228Y-AA-0</t>
  </si>
  <si>
    <t>12807C-AA-1</t>
  </si>
  <si>
    <t>14314H-AL-8</t>
  </si>
  <si>
    <t>GLOBAL SC FINANCE SRL SEACO_20</t>
  </si>
  <si>
    <t>VENTR_19-37A</t>
  </si>
  <si>
    <t>4899999</t>
  </si>
  <si>
    <t>5099999</t>
  </si>
  <si>
    <t>5400000</t>
  </si>
  <si>
    <t>Subtotal - SVO Identified Funds</t>
  </si>
  <si>
    <t>Total - Issuer Obligations</t>
  </si>
  <si>
    <t>7799999</t>
  </si>
  <si>
    <t>Total - Affiliated Bank Loans</t>
  </si>
  <si>
    <t>0500001</t>
  </si>
  <si>
    <t>WELLS FARGO BANK</t>
  </si>
  <si>
    <t>ROYAL BANK OF CANADA</t>
  </si>
  <si>
    <t>Tax Free Exchange</t>
  </si>
  <si>
    <t>BARCLAYS CAPITAL INC</t>
  </si>
  <si>
    <t>CIGNA CORP    3.900% 02/15/22</t>
  </si>
  <si>
    <t>CHEVRON CORP    1.995% 05/11/27</t>
  </si>
  <si>
    <t>CITIGROUP INC    3.352% 04/24/25</t>
  </si>
  <si>
    <t>EMERSON ELECTRIC CO    1.800% 10/15/27</t>
  </si>
  <si>
    <t>3800098</t>
  </si>
  <si>
    <t>LEVI STRAUSS &amp; CO    5.000% 05/01/25</t>
  </si>
  <si>
    <t>MORGAN STANLEY    2.188% 04/28/26</t>
  </si>
  <si>
    <t>MITSUBISHI SECURITIES</t>
  </si>
  <si>
    <t>8999998</t>
  </si>
  <si>
    <t>Total - Preferred Stocks - Part 5</t>
  </si>
  <si>
    <t>912828-VV-9</t>
  </si>
  <si>
    <t>1700000</t>
  </si>
  <si>
    <t>HONOLULU HAWAII CITY AND CNTY HONOLULU H</t>
  </si>
  <si>
    <t>491189-FV-3</t>
  </si>
  <si>
    <t>007634-AA-6</t>
  </si>
  <si>
    <t>AMER AIRL 2013-1 CLASS A AMERICAN AIRLIN</t>
  </si>
  <si>
    <t>AMERICAN HONDA FINANCE CORPORA  144A</t>
  </si>
  <si>
    <t>SERIES 2015-2A CLASS C</t>
  </si>
  <si>
    <t>084423-AR-3</t>
  </si>
  <si>
    <t>110122-BJ-6</t>
  </si>
  <si>
    <t>BROADCOM INC Series 144A</t>
  </si>
  <si>
    <t>12594B-AF-9</t>
  </si>
  <si>
    <t>CNH EQUIPMENT TRUST CNH_16-B</t>
  </si>
  <si>
    <t>Call      101.1880</t>
  </si>
  <si>
    <t>161571-HN-7</t>
  </si>
  <si>
    <t>DELTA AIR LINES 2015-1 CLASS B</t>
  </si>
  <si>
    <t>ELM TRUST MDCP_16-1A    4.163% 06/20/25</t>
  </si>
  <si>
    <t>375558-AY-9</t>
  </si>
  <si>
    <t>549300T62Z5TRF7JHO83</t>
  </si>
  <si>
    <t>PNC FUNDING CORP    4.375% 08/11/20</t>
  </si>
  <si>
    <t>75951A-AB-4</t>
  </si>
  <si>
    <t>75951A-AC-2</t>
  </si>
  <si>
    <t>SODEXO INC</t>
  </si>
  <si>
    <t>UBM PLC</t>
  </si>
  <si>
    <t xml:space="preserve">Par Value (Bonds) or Number of Shares (Stock) </t>
  </si>
  <si>
    <t>PERU THE REPUBLIC OF</t>
  </si>
  <si>
    <t xml:space="preserve">Description, Name of Subsidiary, Controlled or Affiliated Company </t>
  </si>
  <si>
    <t>Subtotal - Common Stock - Non - Insurer</t>
  </si>
  <si>
    <t>#38458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</si>
</sst>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_);[Red]\(#,##0.0000\)"/>
    <numFmt numFmtId="165" formatCode="#,##0.000_);[Red]\(#,##0.000\)"/>
    <numFmt numFmtId="167" formatCode="mm/dd/yyyy"/>
    <numFmt numFmtId="168" formatCode="#####"/>
    <numFmt numFmtId="169" formatCode="\A\A\-\A\A#####"/>
    <numFmt numFmtId="170" formatCode="#,##0.0_);[Red]\(#,##0.0\)"/>
  </numFmts>
  <fonts count="9" x14ac:knownFonts="1">
    <font>
      <sz val="11"/>
      <color theme="1"/>
      <name val="Arial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sz val="8"/>
      <color rgb="FF008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8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F14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8">
    <xf numFmtId="0" fontId="0" fillId="0" borderId="0" xfId="0"/>
    <xf numFmtId="0" fontId="0" fillId="2" borderId="1" xfId="0" applyFill="1" applyBorder="1" applyAlignment="1">
      <alignment horizontal="fill"/>
    </xf>
    <xf numFmtId="0" fontId="7" fillId="3" borderId="1" xfId="1" applyNumberFormat="1" applyFill="1" applyBorder="1"/>
    <xf numFmtId="37" fontId="7" fillId="4" borderId="1" xfId="22" applyNumberFormat="1" applyFill="1" applyBorder="1" applyProtection="1"/>
    <xf numFmtId="37" fontId="7" fillId="0" borderId="1" xfId="22" applyNumberFormat="1" applyFill="1" applyBorder="1"/>
    <xf numFmtId="0" fontId="7" fillId="0" borderId="1" xfId="16" quotePrefix="1" applyNumberFormat="1" applyFill="1" applyBorder="1"/>
    <xf numFmtId="0" fontId="7" fillId="0" borderId="1" xfId="2" applyNumberFormat="1" applyFill="1" applyBorder="1"/>
    <xf numFmtId="0" fontId="0" fillId="2" borderId="2" xfId="0" applyFill="1" applyBorder="1" applyAlignment="1">
      <alignment horizontal="fill"/>
    </xf>
    <xf numFmtId="0" fontId="0" fillId="2" borderId="3" xfId="0" applyFill="1" applyBorder="1" applyAlignment="1">
      <alignment horizontal="fill"/>
    </xf>
    <xf numFmtId="0" fontId="7" fillId="0" borderId="1" xfId="2" applyNumberFormat="1" applyFill="1" applyBorder="1" applyAlignment="1">
      <alignment horizontal="center"/>
    </xf>
    <xf numFmtId="167" fontId="7" fillId="0" borderId="1" xfId="2" applyNumberFormat="1" applyFill="1" applyBorder="1"/>
    <xf numFmtId="167" fontId="7" fillId="0" borderId="1" xfId="2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Continuous" wrapText="1"/>
    </xf>
    <xf numFmtId="0" fontId="1" fillId="0" borderId="5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7" fillId="0" borderId="1" xfId="20" quotePrefix="1" applyNumberFormat="1" applyFill="1" applyBorder="1"/>
    <xf numFmtId="0" fontId="7" fillId="3" borderId="3" xfId="1" applyNumberFormat="1" applyFill="1" applyBorder="1"/>
    <xf numFmtId="49" fontId="0" fillId="5" borderId="2" xfId="16" quotePrefix="1" applyNumberFormat="1" applyFont="1" applyFill="1" applyBorder="1" applyAlignment="1">
      <alignment horizontal="right" vertical="top"/>
    </xf>
    <xf numFmtId="0" fontId="0" fillId="6" borderId="1" xfId="16" quotePrefix="1" applyNumberFormat="1" applyFont="1" applyFill="1" applyBorder="1" applyAlignment="1">
      <alignment horizontal="left" wrapText="1"/>
    </xf>
    <xf numFmtId="0" fontId="7" fillId="0" borderId="3" xfId="16" quotePrefix="1" applyNumberFormat="1" applyFill="1" applyBorder="1"/>
    <xf numFmtId="49" fontId="0" fillId="6" borderId="2" xfId="16" quotePrefix="1" applyNumberFormat="1" applyFont="1" applyFill="1" applyBorder="1" applyAlignment="1">
      <alignment horizontal="right" vertical="top"/>
    </xf>
    <xf numFmtId="0" fontId="7" fillId="0" borderId="1" xfId="6" quotePrefix="1" applyNumberFormat="1" applyFill="1" applyBorder="1"/>
    <xf numFmtId="165" fontId="7" fillId="0" borderId="1" xfId="25" applyNumberFormat="1" applyFill="1" applyBorder="1"/>
    <xf numFmtId="37" fontId="7" fillId="4" borderId="1" xfId="22" applyNumberFormat="1" applyFill="1" applyBorder="1"/>
    <xf numFmtId="0" fontId="0" fillId="0" borderId="1" xfId="17" applyNumberFormat="1" applyFont="1" applyFill="1" applyBorder="1" applyAlignment="1">
      <alignment horizontal="left" wrapText="1"/>
    </xf>
    <xf numFmtId="0" fontId="7" fillId="3" borderId="6" xfId="1" applyNumberFormat="1" applyFill="1" applyBorder="1"/>
    <xf numFmtId="0" fontId="7" fillId="3" borderId="1" xfId="1" applyNumberFormat="1" applyFill="1" applyBorder="1" applyAlignment="1">
      <alignment horizontal="center"/>
    </xf>
    <xf numFmtId="165" fontId="7" fillId="0" borderId="1" xfId="27" applyNumberFormat="1" applyFill="1" applyBorder="1"/>
    <xf numFmtId="0" fontId="7" fillId="0" borderId="1" xfId="4" quotePrefix="1" applyNumberFormat="1" applyFill="1" applyBorder="1"/>
    <xf numFmtId="37" fontId="7" fillId="7" borderId="1" xfId="22" applyNumberFormat="1" applyFill="1" applyBorder="1"/>
    <xf numFmtId="0" fontId="7" fillId="4" borderId="1" xfId="16" quotePrefix="1" applyNumberFormat="1" applyFill="1" applyBorder="1"/>
    <xf numFmtId="37" fontId="7" fillId="4" borderId="6" xfId="22" applyNumberFormat="1" applyFill="1" applyBorder="1" applyProtection="1"/>
    <xf numFmtId="0" fontId="7" fillId="0" borderId="1" xfId="11" quotePrefix="1" applyNumberFormat="1" applyFill="1" applyBorder="1"/>
    <xf numFmtId="0" fontId="7" fillId="0" borderId="1" xfId="12" quotePrefix="1" applyNumberFormat="1" applyFill="1" applyBorder="1"/>
    <xf numFmtId="0" fontId="2" fillId="0" borderId="0" xfId="0" applyFont="1" applyAlignment="1">
      <alignment horizontal="center"/>
    </xf>
    <xf numFmtId="0" fontId="7" fillId="0" borderId="1" xfId="13" quotePrefix="1" applyNumberFormat="1" applyFill="1" applyBorder="1"/>
    <xf numFmtId="0" fontId="7" fillId="0" borderId="1" xfId="21" quotePrefix="1" applyNumberFormat="1" applyFill="1" applyBorder="1"/>
    <xf numFmtId="0" fontId="7" fillId="0" borderId="1" xfId="8" quotePrefix="1" applyNumberFormat="1" applyFill="1" applyBorder="1"/>
    <xf numFmtId="164" fontId="7" fillId="0" borderId="1" xfId="26" applyNumberFormat="1" applyFill="1" applyBorder="1"/>
    <xf numFmtId="0" fontId="7" fillId="0" borderId="1" xfId="7" quotePrefix="1" applyNumberFormat="1" applyFill="1" applyBorder="1"/>
    <xf numFmtId="49" fontId="3" fillId="0" borderId="0" xfId="0" applyNumberFormat="1" applyFont="1" applyAlignment="1">
      <alignment horizontal="center" vertical="center" wrapText="1"/>
    </xf>
    <xf numFmtId="0" fontId="7" fillId="0" borderId="1" xfId="5" quotePrefix="1" applyNumberFormat="1" applyFill="1" applyBorder="1"/>
    <xf numFmtId="37" fontId="7" fillId="8" borderId="1" xfId="22" applyNumberFormat="1" applyFill="1" applyBorder="1" applyProtection="1"/>
    <xf numFmtId="0" fontId="0" fillId="0" borderId="1" xfId="17" quotePrefix="1" applyNumberFormat="1" applyFont="1" applyFill="1" applyBorder="1" applyAlignment="1">
      <alignment horizontal="left" wrapText="1"/>
    </xf>
    <xf numFmtId="0" fontId="3" fillId="0" borderId="0" xfId="0" applyNumberFormat="1" applyFont="1" applyAlignment="1">
      <alignment horizontal="center" vertical="center" wrapText="1"/>
    </xf>
    <xf numFmtId="170" fontId="7" fillId="0" borderId="1" xfId="23" applyNumberFormat="1" applyFill="1" applyBorder="1"/>
    <xf numFmtId="169" fontId="7" fillId="0" borderId="1" xfId="18" quotePrefix="1" applyNumberFormat="1" applyFill="1" applyBorder="1"/>
    <xf numFmtId="168" fontId="7" fillId="0" borderId="1" xfId="19" quotePrefix="1" applyNumberFormat="1" applyFill="1" applyBorder="1"/>
    <xf numFmtId="0" fontId="7" fillId="0" borderId="1" xfId="9" quotePrefix="1" applyNumberFormat="1" applyFill="1" applyBorder="1"/>
    <xf numFmtId="0" fontId="7" fillId="0" borderId="1" xfId="3" quotePrefix="1" applyNumberFormat="1" applyFill="1" applyBorder="1"/>
    <xf numFmtId="49" fontId="7" fillId="0" borderId="1" xfId="6" quotePrefix="1" applyNumberFormat="1" applyFill="1" applyBorder="1"/>
    <xf numFmtId="49" fontId="4" fillId="0" borderId="0" xfId="0" applyNumberFormat="1" applyFont="1" applyAlignment="1">
      <alignment horizontal="center" vertical="center" wrapText="1"/>
    </xf>
    <xf numFmtId="49" fontId="0" fillId="9" borderId="7" xfId="16" quotePrefix="1" applyNumberFormat="1" applyFont="1" applyFill="1" applyBorder="1" applyAlignment="1">
      <alignment horizontal="right" vertical="top"/>
    </xf>
    <xf numFmtId="37" fontId="7" fillId="7" borderId="6" xfId="22" applyNumberFormat="1" applyFill="1" applyBorder="1"/>
    <xf numFmtId="0" fontId="0" fillId="9" borderId="6" xfId="16" quotePrefix="1" applyNumberFormat="1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40" fontId="7" fillId="0" borderId="1" xfId="24" applyNumberFormat="1" applyFill="1" applyBorder="1"/>
    <xf numFmtId="49" fontId="7" fillId="0" borderId="1" xfId="13" quotePrefix="1" applyNumberFormat="1" applyFill="1" applyBorder="1"/>
    <xf numFmtId="49" fontId="7" fillId="0" borderId="1" xfId="12" quotePrefix="1" applyNumberFormat="1" applyFill="1" applyBorder="1"/>
    <xf numFmtId="49" fontId="7" fillId="0" borderId="1" xfId="4" quotePrefix="1" applyNumberFormat="1" applyFill="1" applyBorder="1"/>
    <xf numFmtId="49" fontId="7" fillId="0" borderId="1" xfId="5" quotePrefix="1" applyNumberFormat="1" applyFill="1" applyBorder="1"/>
    <xf numFmtId="49" fontId="7" fillId="0" borderId="1" xfId="7" quotePrefix="1" applyNumberFormat="1" applyFill="1" applyBorder="1"/>
    <xf numFmtId="0" fontId="7" fillId="0" borderId="1" xfId="10" quotePrefix="1" applyNumberFormat="1" applyFill="1" applyBorder="1"/>
    <xf numFmtId="49" fontId="7" fillId="0" borderId="1" xfId="8" quotePrefix="1" applyNumberFormat="1" applyFill="1" applyBorder="1"/>
    <xf numFmtId="49" fontId="7" fillId="0" borderId="1" xfId="11" quotePrefix="1" applyNumberFormat="1" applyFill="1" applyBorder="1"/>
    <xf numFmtId="0" fontId="7" fillId="3" borderId="5" xfId="1" applyNumberFormat="1" applyFill="1" applyBorder="1"/>
    <xf numFmtId="0" fontId="0" fillId="0" borderId="0" xfId="0" applyAlignment="1">
      <alignment horizontal="center" wrapText="1"/>
    </xf>
    <xf numFmtId="49" fontId="0" fillId="9" borderId="2" xfId="16" quotePrefix="1" applyNumberFormat="1" applyFont="1" applyFill="1" applyBorder="1" applyAlignment="1">
      <alignment horizontal="right" vertical="top"/>
    </xf>
    <xf numFmtId="0" fontId="0" fillId="9" borderId="1" xfId="16" quotePrefix="1" applyNumberFormat="1" applyFont="1" applyFill="1" applyBorder="1" applyAlignment="1">
      <alignment horizontal="left" wrapText="1"/>
    </xf>
    <xf numFmtId="0" fontId="7" fillId="0" borderId="1" xfId="14" quotePrefix="1" applyNumberFormat="1" applyFill="1" applyBorder="1"/>
    <xf numFmtId="0" fontId="7" fillId="0" borderId="1" xfId="15" quotePrefix="1" applyNumberFormat="1" applyFill="1" applyBorder="1"/>
    <xf numFmtId="0" fontId="0" fillId="0" borderId="0" xfId="0" applyAlignment="1">
      <alignment horizontal="center"/>
    </xf>
    <xf numFmtId="49" fontId="7" fillId="0" borderId="1" xfId="15" quotePrefix="1" applyNumberFormat="1" applyFill="1" applyBorder="1"/>
    <xf numFmtId="49" fontId="8" fillId="0" borderId="0" xfId="0" applyNumberFormat="1" applyFont="1" applyAlignment="1">
      <alignment horizontal="center" vertical="center" wrapText="1"/>
    </xf>
  </cellXfs>
  <cellStyles count="28">
    <cellStyle name="0" xfId="1" xr:uid="{00000000-0005-0000-0000-000000000000}"/>
    <cellStyle name="12884901888" xfId="2" xr:uid="{00000000-0005-0000-0000-000001000000}"/>
    <cellStyle name="17179869185" xfId="3" xr:uid="{00000000-0005-0000-0000-000002000000}"/>
    <cellStyle name="17179869351" xfId="4" xr:uid="{00000000-0005-0000-0000-000003000000}"/>
    <cellStyle name="17179869362" xfId="5" xr:uid="{00000000-0005-0000-0000-000004000000}"/>
    <cellStyle name="17179869408" xfId="6" xr:uid="{00000000-0005-0000-0000-000005000000}"/>
    <cellStyle name="17179869426" xfId="7" xr:uid="{00000000-0005-0000-0000-000006000000}"/>
    <cellStyle name="17179869427" xfId="8" xr:uid="{00000000-0005-0000-0000-000007000000}"/>
    <cellStyle name="17179869434" xfId="9" xr:uid="{00000000-0005-0000-0000-000008000000}"/>
    <cellStyle name="17179869453" xfId="10" xr:uid="{00000000-0005-0000-0000-000009000000}"/>
    <cellStyle name="17179869462" xfId="11" xr:uid="{00000000-0005-0000-0000-00000A000000}"/>
    <cellStyle name="17179869463" xfId="12" xr:uid="{00000000-0005-0000-0000-00000B000000}"/>
    <cellStyle name="17179869465" xfId="13" xr:uid="{00000000-0005-0000-0000-00000C000000}"/>
    <cellStyle name="17179869466" xfId="14" xr:uid="{00000000-0005-0000-0000-00000D000000}"/>
    <cellStyle name="17179869469" xfId="15" xr:uid="{00000000-0005-0000-0000-00000E000000}"/>
    <cellStyle name="4294967297" xfId="16" xr:uid="{00000000-0005-0000-0000-00000F000000}"/>
    <cellStyle name="4294967298" xfId="17" xr:uid="{00000000-0005-0000-0000-000010000000}"/>
    <cellStyle name="4294967299" xfId="18" xr:uid="{00000000-0005-0000-0000-000011000000}"/>
    <cellStyle name="4294967308" xfId="19" xr:uid="{00000000-0005-0000-0000-000012000000}"/>
    <cellStyle name="4294967318" xfId="20" xr:uid="{00000000-0005-0000-0000-000013000000}"/>
    <cellStyle name="4294967319" xfId="21" xr:uid="{00000000-0005-0000-0000-000014000000}"/>
    <cellStyle name="8589934593" xfId="22" xr:uid="{00000000-0005-0000-0000-000015000000}"/>
    <cellStyle name="8589934595" xfId="23" xr:uid="{00000000-0005-0000-0000-000016000000}"/>
    <cellStyle name="8589934597" xfId="24" xr:uid="{00000000-0005-0000-0000-000017000000}"/>
    <cellStyle name="8589934598" xfId="25" xr:uid="{00000000-0005-0000-0000-000018000000}"/>
    <cellStyle name="8589934599" xfId="26" xr:uid="{00000000-0005-0000-0000-000019000000}"/>
    <cellStyle name="8589934601" xfId="27" xr:uid="{00000000-0005-0000-0000-00001A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1091"/>
  <sheetViews>
    <sheetView tabSelected="1" workbookViewId="0">
      <selection activeCell="B1" sqref="B1"/>
    </sheetView>
  </sheetViews>
  <sheetFormatPr defaultRowHeight="13.8" x14ac:dyDescent="0.25"/>
  <cols>
    <col min="1" max="1" width="1.69921875" customWidth="1"/>
    <col min="2" max="2" width="9.69921875" customWidth="1"/>
    <col min="3" max="4" width="25.69921875" customWidth="1"/>
    <col min="5" max="5" width="59.69921875" customWidth="1"/>
    <col min="6" max="6" width="63.69921875" customWidth="1"/>
    <col min="7" max="10" width="10.69921875" customWidth="1"/>
    <col min="11" max="11" width="14.69921875" customWidth="1"/>
    <col min="12" max="12" width="12.69921875" customWidth="1"/>
    <col min="13" max="19" width="14.69921875" customWidth="1"/>
    <col min="20" max="21" width="12.69921875" customWidth="1"/>
    <col min="22" max="22" width="10.69921875" customWidth="1"/>
    <col min="23" max="24" width="14.69921875" customWidth="1"/>
    <col min="25" max="26" width="10.69921875" customWidth="1"/>
    <col min="27" max="27" width="20.69921875" customWidth="1"/>
    <col min="28" max="28" width="48.69921875" customWidth="1"/>
    <col min="29" max="29" width="25.69921875" customWidth="1"/>
    <col min="30" max="30" width="88.69921875" customWidth="1"/>
    <col min="31" max="31" width="10.69921875" customWidth="1"/>
    <col min="32" max="32" width="12.69921875" customWidth="1"/>
    <col min="33" max="33" width="10.69921875" customWidth="1"/>
    <col min="34" max="34" width="20.69921875" customWidth="1"/>
    <col min="35" max="36" width="25.69921875" customWidth="1"/>
    <col min="37" max="37" width="10.69921875" customWidth="1"/>
    <col min="38" max="38" width="25.69921875" customWidth="1"/>
    <col min="39" max="39" width="10.69921875" customWidth="1"/>
  </cols>
  <sheetData>
    <row r="1" spans="2:39" x14ac:dyDescent="0.25">
      <c r="B1" s="77" t="s">
        <v>4436</v>
      </c>
      <c r="C1" s="35" t="s">
        <v>1621</v>
      </c>
      <c r="D1" s="35" t="s">
        <v>1151</v>
      </c>
      <c r="E1" s="35" t="s">
        <v>1622</v>
      </c>
      <c r="F1" s="35" t="s">
        <v>245</v>
      </c>
    </row>
    <row r="2" spans="2:39" x14ac:dyDescent="0.25">
      <c r="B2" s="52"/>
      <c r="C2" s="41" t="s">
        <v>546</v>
      </c>
      <c r="D2" s="41" t="s">
        <v>3306</v>
      </c>
      <c r="E2" s="41" t="s">
        <v>0</v>
      </c>
      <c r="F2" s="41" t="s">
        <v>1623</v>
      </c>
      <c r="Y2" s="75"/>
      <c r="Z2" s="75"/>
    </row>
    <row r="3" spans="2:39" ht="40.049999999999997" customHeight="1" x14ac:dyDescent="0.25">
      <c r="B3" s="59" t="s">
        <v>2429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70"/>
      <c r="Z3" s="70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2:39" ht="40.049999999999997" customHeight="1" x14ac:dyDescent="0.4">
      <c r="B4" s="58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70"/>
      <c r="Z4" s="70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2:39" x14ac:dyDescent="0.25">
      <c r="B5" s="57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6.01</v>
      </c>
      <c r="I5" s="12">
        <v>6.02</v>
      </c>
      <c r="J5" s="12">
        <v>6.03</v>
      </c>
      <c r="K5" s="12">
        <v>7</v>
      </c>
      <c r="L5" s="12">
        <v>8</v>
      </c>
      <c r="M5" s="12">
        <v>9</v>
      </c>
      <c r="N5" s="12">
        <v>10</v>
      </c>
      <c r="O5" s="12">
        <v>11</v>
      </c>
      <c r="P5" s="12">
        <v>12</v>
      </c>
      <c r="Q5" s="12">
        <v>13</v>
      </c>
      <c r="R5" s="12">
        <v>14</v>
      </c>
      <c r="S5" s="12">
        <v>15</v>
      </c>
      <c r="T5" s="12">
        <v>16</v>
      </c>
      <c r="U5" s="12">
        <v>17</v>
      </c>
      <c r="V5" s="12">
        <v>18</v>
      </c>
      <c r="W5" s="12">
        <v>19</v>
      </c>
      <c r="X5" s="12">
        <v>20</v>
      </c>
      <c r="Y5" s="12">
        <v>21</v>
      </c>
      <c r="Z5" s="12">
        <v>22</v>
      </c>
      <c r="AA5" s="12">
        <v>23</v>
      </c>
      <c r="AB5" s="12">
        <v>24</v>
      </c>
      <c r="AC5" s="12">
        <v>25</v>
      </c>
      <c r="AD5" s="12">
        <v>26</v>
      </c>
      <c r="AE5" s="12">
        <v>27</v>
      </c>
      <c r="AF5" s="12">
        <v>28</v>
      </c>
      <c r="AG5" s="12">
        <v>29</v>
      </c>
      <c r="AH5" s="12">
        <v>30</v>
      </c>
      <c r="AI5" s="12">
        <v>31</v>
      </c>
      <c r="AJ5" s="12">
        <v>32</v>
      </c>
      <c r="AK5" s="12">
        <v>33</v>
      </c>
      <c r="AL5" s="12">
        <v>34</v>
      </c>
      <c r="AM5" s="12">
        <v>35</v>
      </c>
    </row>
    <row r="6" spans="2:39" ht="91.8" x14ac:dyDescent="0.25">
      <c r="B6" s="56"/>
      <c r="C6" s="14" t="s">
        <v>3837</v>
      </c>
      <c r="D6" s="14" t="s">
        <v>1978</v>
      </c>
      <c r="E6" s="14" t="s">
        <v>1979</v>
      </c>
      <c r="F6" s="14" t="s">
        <v>3307</v>
      </c>
      <c r="G6" s="14" t="s">
        <v>3308</v>
      </c>
      <c r="H6" s="14" t="s">
        <v>2430</v>
      </c>
      <c r="I6" s="14" t="s">
        <v>2213</v>
      </c>
      <c r="J6" s="14" t="s">
        <v>547</v>
      </c>
      <c r="K6" s="14" t="s">
        <v>1342</v>
      </c>
      <c r="L6" s="14" t="s">
        <v>548</v>
      </c>
      <c r="M6" s="14" t="s">
        <v>3838</v>
      </c>
      <c r="N6" s="14" t="s">
        <v>1624</v>
      </c>
      <c r="O6" s="14" t="s">
        <v>884</v>
      </c>
      <c r="P6" s="14" t="s">
        <v>885</v>
      </c>
      <c r="Q6" s="14" t="s">
        <v>2431</v>
      </c>
      <c r="R6" s="14" t="s">
        <v>2712</v>
      </c>
      <c r="S6" s="14" t="s">
        <v>2</v>
      </c>
      <c r="T6" s="14" t="s">
        <v>2432</v>
      </c>
      <c r="U6" s="14" t="s">
        <v>1625</v>
      </c>
      <c r="V6" s="14" t="s">
        <v>886</v>
      </c>
      <c r="W6" s="14" t="s">
        <v>2214</v>
      </c>
      <c r="X6" s="14" t="s">
        <v>246</v>
      </c>
      <c r="Y6" s="14" t="s">
        <v>2433</v>
      </c>
      <c r="Z6" s="14" t="s">
        <v>887</v>
      </c>
      <c r="AA6" s="14" t="s">
        <v>549</v>
      </c>
      <c r="AB6" s="14" t="s">
        <v>1626</v>
      </c>
      <c r="AC6" s="14" t="s">
        <v>3839</v>
      </c>
      <c r="AD6" s="14" t="s">
        <v>4196</v>
      </c>
      <c r="AE6" s="14" t="s">
        <v>1343</v>
      </c>
      <c r="AF6" s="14" t="s">
        <v>4197</v>
      </c>
      <c r="AG6" s="14" t="s">
        <v>1627</v>
      </c>
      <c r="AH6" s="14" t="s">
        <v>3309</v>
      </c>
      <c r="AI6" s="14" t="s">
        <v>3065</v>
      </c>
      <c r="AJ6" s="14" t="s">
        <v>550</v>
      </c>
      <c r="AK6" s="14" t="s">
        <v>2434</v>
      </c>
      <c r="AL6" s="14" t="s">
        <v>247</v>
      </c>
      <c r="AM6" s="14" t="s">
        <v>2435</v>
      </c>
    </row>
    <row r="7" spans="2:39" x14ac:dyDescent="0.25">
      <c r="B7" s="7" t="s">
        <v>2713</v>
      </c>
      <c r="C7" s="1" t="s">
        <v>2713</v>
      </c>
      <c r="D7" s="8" t="s">
        <v>2713</v>
      </c>
      <c r="E7" s="1" t="s">
        <v>2713</v>
      </c>
      <c r="F7" s="1" t="s">
        <v>2713</v>
      </c>
      <c r="G7" s="1" t="s">
        <v>2713</v>
      </c>
      <c r="H7" s="1" t="s">
        <v>2713</v>
      </c>
      <c r="I7" s="1" t="s">
        <v>2713</v>
      </c>
      <c r="J7" s="1" t="s">
        <v>2713</v>
      </c>
      <c r="K7" s="1" t="s">
        <v>2713</v>
      </c>
      <c r="L7" s="1" t="s">
        <v>2713</v>
      </c>
      <c r="M7" s="1" t="s">
        <v>2713</v>
      </c>
      <c r="N7" s="1" t="s">
        <v>2713</v>
      </c>
      <c r="O7" s="1" t="s">
        <v>2713</v>
      </c>
      <c r="P7" s="1" t="s">
        <v>2713</v>
      </c>
      <c r="Q7" s="1" t="s">
        <v>2713</v>
      </c>
      <c r="R7" s="1" t="s">
        <v>2713</v>
      </c>
      <c r="S7" s="1" t="s">
        <v>2713</v>
      </c>
      <c r="T7" s="1" t="s">
        <v>2713</v>
      </c>
      <c r="U7" s="1" t="s">
        <v>2713</v>
      </c>
      <c r="V7" s="1" t="s">
        <v>2713</v>
      </c>
      <c r="W7" s="1" t="s">
        <v>2713</v>
      </c>
      <c r="X7" s="1" t="s">
        <v>2713</v>
      </c>
      <c r="Y7" s="15" t="s">
        <v>2713</v>
      </c>
      <c r="Z7" s="15" t="s">
        <v>2713</v>
      </c>
      <c r="AA7" s="1" t="s">
        <v>2713</v>
      </c>
      <c r="AB7" s="1" t="s">
        <v>2713</v>
      </c>
      <c r="AC7" s="1" t="s">
        <v>2713</v>
      </c>
      <c r="AD7" s="1" t="s">
        <v>2713</v>
      </c>
      <c r="AE7" s="1" t="s">
        <v>2713</v>
      </c>
      <c r="AF7" s="1" t="s">
        <v>2713</v>
      </c>
      <c r="AG7" s="1" t="s">
        <v>2713</v>
      </c>
      <c r="AH7" s="1" t="s">
        <v>2713</v>
      </c>
      <c r="AI7" s="1" t="s">
        <v>2713</v>
      </c>
      <c r="AJ7" s="1" t="s">
        <v>2713</v>
      </c>
      <c r="AK7" s="1" t="s">
        <v>2713</v>
      </c>
      <c r="AL7" s="1" t="s">
        <v>2713</v>
      </c>
      <c r="AM7" s="1" t="s">
        <v>2713</v>
      </c>
    </row>
    <row r="8" spans="2:39" x14ac:dyDescent="0.25">
      <c r="B8" s="18" t="s">
        <v>2714</v>
      </c>
      <c r="C8" s="44" t="s">
        <v>2215</v>
      </c>
      <c r="D8" s="20" t="s">
        <v>2436</v>
      </c>
      <c r="E8" s="38" t="s">
        <v>1628</v>
      </c>
      <c r="F8" s="22" t="s">
        <v>3</v>
      </c>
      <c r="G8" s="37" t="s">
        <v>3</v>
      </c>
      <c r="H8" s="33" t="s">
        <v>2715</v>
      </c>
      <c r="I8" s="34" t="s">
        <v>3310</v>
      </c>
      <c r="J8" s="36" t="s">
        <v>3</v>
      </c>
      <c r="K8" s="4">
        <v>58680</v>
      </c>
      <c r="L8" s="39">
        <v>146.73400000000001</v>
      </c>
      <c r="M8" s="4">
        <v>88040</v>
      </c>
      <c r="N8" s="4">
        <v>60000</v>
      </c>
      <c r="O8" s="4">
        <v>58988</v>
      </c>
      <c r="P8" s="4">
        <v>0</v>
      </c>
      <c r="Q8" s="4">
        <v>45</v>
      </c>
      <c r="R8" s="4">
        <v>0</v>
      </c>
      <c r="S8" s="4">
        <v>0</v>
      </c>
      <c r="T8" s="23">
        <v>4.5</v>
      </c>
      <c r="U8" s="23">
        <v>4.657</v>
      </c>
      <c r="V8" s="5" t="s">
        <v>248</v>
      </c>
      <c r="W8" s="4">
        <v>1020</v>
      </c>
      <c r="X8" s="4">
        <v>2250</v>
      </c>
      <c r="Y8" s="11">
        <v>42277</v>
      </c>
      <c r="Z8" s="11">
        <v>49720</v>
      </c>
      <c r="AA8" s="2"/>
      <c r="AB8" s="29" t="s">
        <v>3840</v>
      </c>
      <c r="AC8" s="5" t="s">
        <v>4198</v>
      </c>
      <c r="AD8" s="2"/>
      <c r="AE8" s="6"/>
      <c r="AF8" s="23"/>
      <c r="AG8" s="6"/>
      <c r="AH8" s="5" t="s">
        <v>3</v>
      </c>
      <c r="AI8" s="5" t="s">
        <v>3841</v>
      </c>
      <c r="AJ8" s="5" t="s">
        <v>3532</v>
      </c>
      <c r="AK8" s="16" t="s">
        <v>3</v>
      </c>
      <c r="AL8" s="40" t="s">
        <v>3842</v>
      </c>
      <c r="AM8" s="31" t="s">
        <v>2437</v>
      </c>
    </row>
    <row r="9" spans="2:39" x14ac:dyDescent="0.25">
      <c r="B9" s="18" t="s">
        <v>4199</v>
      </c>
      <c r="C9" s="44" t="s">
        <v>2215</v>
      </c>
      <c r="D9" s="20" t="s">
        <v>2436</v>
      </c>
      <c r="E9" s="67" t="s">
        <v>3066</v>
      </c>
      <c r="F9" s="51" t="s">
        <v>3</v>
      </c>
      <c r="G9" s="37" t="s">
        <v>3</v>
      </c>
      <c r="H9" s="68" t="s">
        <v>2715</v>
      </c>
      <c r="I9" s="62" t="s">
        <v>3310</v>
      </c>
      <c r="J9" s="61" t="s">
        <v>3</v>
      </c>
      <c r="K9" s="4">
        <v>58680</v>
      </c>
      <c r="L9" s="39">
        <v>146.73400000000001</v>
      </c>
      <c r="M9" s="4">
        <v>88040</v>
      </c>
      <c r="N9" s="4">
        <v>60000</v>
      </c>
      <c r="O9" s="4">
        <v>58988</v>
      </c>
      <c r="P9" s="4">
        <v>0</v>
      </c>
      <c r="Q9" s="4">
        <v>45</v>
      </c>
      <c r="R9" s="4">
        <v>0</v>
      </c>
      <c r="S9" s="4">
        <v>0</v>
      </c>
      <c r="T9" s="23">
        <v>4.5</v>
      </c>
      <c r="U9" s="23">
        <v>4.657</v>
      </c>
      <c r="V9" s="5" t="s">
        <v>248</v>
      </c>
      <c r="W9" s="4">
        <v>1020</v>
      </c>
      <c r="X9" s="4">
        <v>2250</v>
      </c>
      <c r="Y9" s="11">
        <v>42277</v>
      </c>
      <c r="Z9" s="11">
        <v>49720</v>
      </c>
      <c r="AA9" s="2"/>
      <c r="AB9" s="63" t="s">
        <v>3840</v>
      </c>
      <c r="AC9" s="5" t="s">
        <v>4198</v>
      </c>
      <c r="AD9" s="2"/>
      <c r="AE9" s="6"/>
      <c r="AF9" s="23"/>
      <c r="AG9" s="6"/>
      <c r="AH9" s="5" t="s">
        <v>3</v>
      </c>
      <c r="AI9" s="5" t="s">
        <v>3841</v>
      </c>
      <c r="AJ9" s="5" t="s">
        <v>3532</v>
      </c>
      <c r="AK9" s="16" t="s">
        <v>3</v>
      </c>
      <c r="AL9" s="65" t="s">
        <v>3842</v>
      </c>
      <c r="AM9" s="31" t="s">
        <v>2437</v>
      </c>
    </row>
    <row r="10" spans="2:39" x14ac:dyDescent="0.25">
      <c r="B10" s="18" t="s">
        <v>888</v>
      </c>
      <c r="C10" s="44" t="s">
        <v>2215</v>
      </c>
      <c r="D10" s="20" t="s">
        <v>2436</v>
      </c>
      <c r="E10" s="67" t="s">
        <v>3</v>
      </c>
      <c r="F10" s="51" t="s">
        <v>3</v>
      </c>
      <c r="G10" s="37" t="s">
        <v>3</v>
      </c>
      <c r="H10" s="68" t="s">
        <v>2715</v>
      </c>
      <c r="I10" s="62" t="s">
        <v>3310</v>
      </c>
      <c r="J10" s="61" t="s">
        <v>3</v>
      </c>
      <c r="K10" s="4">
        <v>58680</v>
      </c>
      <c r="L10" s="39">
        <v>146.73400000000001</v>
      </c>
      <c r="M10" s="4">
        <v>88040</v>
      </c>
      <c r="N10" s="4">
        <v>60000</v>
      </c>
      <c r="O10" s="4">
        <v>58988</v>
      </c>
      <c r="P10" s="4">
        <v>0</v>
      </c>
      <c r="Q10" s="4">
        <v>45</v>
      </c>
      <c r="R10" s="4">
        <v>0</v>
      </c>
      <c r="S10" s="4">
        <v>0</v>
      </c>
      <c r="T10" s="23">
        <v>4.5</v>
      </c>
      <c r="U10" s="23">
        <v>4.657</v>
      </c>
      <c r="V10" s="5" t="s">
        <v>248</v>
      </c>
      <c r="W10" s="4">
        <v>1020</v>
      </c>
      <c r="X10" s="4">
        <v>2250</v>
      </c>
      <c r="Y10" s="11">
        <v>42277</v>
      </c>
      <c r="Z10" s="11">
        <v>49720</v>
      </c>
      <c r="AA10" s="2"/>
      <c r="AB10" s="63" t="s">
        <v>3840</v>
      </c>
      <c r="AC10" s="5" t="s">
        <v>4198</v>
      </c>
      <c r="AD10" s="2"/>
      <c r="AE10" s="6"/>
      <c r="AF10" s="23"/>
      <c r="AG10" s="6"/>
      <c r="AH10" s="5" t="s">
        <v>3</v>
      </c>
      <c r="AI10" s="5" t="s">
        <v>3841</v>
      </c>
      <c r="AJ10" s="5" t="s">
        <v>3532</v>
      </c>
      <c r="AK10" s="16" t="s">
        <v>3</v>
      </c>
      <c r="AL10" s="65" t="s">
        <v>3842</v>
      </c>
      <c r="AM10" s="31" t="s">
        <v>2437</v>
      </c>
    </row>
    <row r="11" spans="2:39" x14ac:dyDescent="0.25">
      <c r="B11" s="18" t="s">
        <v>1980</v>
      </c>
      <c r="C11" s="44" t="s">
        <v>1981</v>
      </c>
      <c r="D11" s="20" t="s">
        <v>2438</v>
      </c>
      <c r="E11" s="67" t="s">
        <v>1628</v>
      </c>
      <c r="F11" s="51" t="s">
        <v>3</v>
      </c>
      <c r="G11" s="37" t="s">
        <v>3</v>
      </c>
      <c r="H11" s="68" t="s">
        <v>2715</v>
      </c>
      <c r="I11" s="62" t="s">
        <v>3310</v>
      </c>
      <c r="J11" s="61" t="s">
        <v>3</v>
      </c>
      <c r="K11" s="4">
        <v>2831456</v>
      </c>
      <c r="L11" s="39">
        <v>106.812</v>
      </c>
      <c r="M11" s="4">
        <v>3012099</v>
      </c>
      <c r="N11" s="4">
        <v>2820000</v>
      </c>
      <c r="O11" s="4">
        <v>2826092</v>
      </c>
      <c r="P11" s="4">
        <v>0</v>
      </c>
      <c r="Q11" s="4">
        <v>-1623</v>
      </c>
      <c r="R11" s="4">
        <v>0</v>
      </c>
      <c r="S11" s="4">
        <v>0</v>
      </c>
      <c r="T11" s="23">
        <v>2.125</v>
      </c>
      <c r="U11" s="23">
        <v>2.0619999999999998</v>
      </c>
      <c r="V11" s="5" t="s">
        <v>1982</v>
      </c>
      <c r="W11" s="4">
        <v>25077</v>
      </c>
      <c r="X11" s="4">
        <v>68950</v>
      </c>
      <c r="Y11" s="11">
        <v>42956</v>
      </c>
      <c r="Z11" s="11">
        <v>45504</v>
      </c>
      <c r="AA11" s="2"/>
      <c r="AB11" s="63" t="s">
        <v>3840</v>
      </c>
      <c r="AC11" s="5" t="s">
        <v>4198</v>
      </c>
      <c r="AD11" s="2"/>
      <c r="AE11" s="6"/>
      <c r="AF11" s="23"/>
      <c r="AG11" s="6"/>
      <c r="AH11" s="5" t="s">
        <v>3</v>
      </c>
      <c r="AI11" s="5" t="s">
        <v>3841</v>
      </c>
      <c r="AJ11" s="5" t="s">
        <v>3533</v>
      </c>
      <c r="AK11" s="16" t="s">
        <v>3</v>
      </c>
      <c r="AL11" s="65" t="s">
        <v>3842</v>
      </c>
      <c r="AM11" s="31" t="s">
        <v>2437</v>
      </c>
    </row>
    <row r="12" spans="2:39" x14ac:dyDescent="0.25">
      <c r="B12" s="18" t="s">
        <v>3067</v>
      </c>
      <c r="C12" s="44" t="s">
        <v>1981</v>
      </c>
      <c r="D12" s="20" t="s">
        <v>2438</v>
      </c>
      <c r="E12" s="67" t="s">
        <v>3</v>
      </c>
      <c r="F12" s="51" t="s">
        <v>3</v>
      </c>
      <c r="G12" s="37" t="s">
        <v>3</v>
      </c>
      <c r="H12" s="68" t="s">
        <v>2715</v>
      </c>
      <c r="I12" s="62" t="s">
        <v>3310</v>
      </c>
      <c r="J12" s="61" t="s">
        <v>3</v>
      </c>
      <c r="K12" s="4">
        <v>2168775</v>
      </c>
      <c r="L12" s="39">
        <v>106.812</v>
      </c>
      <c r="M12" s="4">
        <v>2307139</v>
      </c>
      <c r="N12" s="4">
        <v>2160000</v>
      </c>
      <c r="O12" s="4">
        <v>2164665</v>
      </c>
      <c r="P12" s="4">
        <v>0</v>
      </c>
      <c r="Q12" s="4">
        <v>-1243</v>
      </c>
      <c r="R12" s="4">
        <v>0</v>
      </c>
      <c r="S12" s="4">
        <v>0</v>
      </c>
      <c r="T12" s="23">
        <v>2.125</v>
      </c>
      <c r="U12" s="23">
        <v>2.0619999999999998</v>
      </c>
      <c r="V12" s="5" t="s">
        <v>1982</v>
      </c>
      <c r="W12" s="4">
        <v>19208</v>
      </c>
      <c r="X12" s="4">
        <v>52813</v>
      </c>
      <c r="Y12" s="11">
        <v>42956</v>
      </c>
      <c r="Z12" s="11">
        <v>45504</v>
      </c>
      <c r="AA12" s="2"/>
      <c r="AB12" s="63" t="s">
        <v>3840</v>
      </c>
      <c r="AC12" s="5" t="s">
        <v>4198</v>
      </c>
      <c r="AD12" s="2"/>
      <c r="AE12" s="6"/>
      <c r="AF12" s="23"/>
      <c r="AG12" s="6"/>
      <c r="AH12" s="5" t="s">
        <v>3</v>
      </c>
      <c r="AI12" s="5" t="s">
        <v>3841</v>
      </c>
      <c r="AJ12" s="5" t="s">
        <v>3533</v>
      </c>
      <c r="AK12" s="16" t="s">
        <v>3</v>
      </c>
      <c r="AL12" s="65" t="s">
        <v>3842</v>
      </c>
      <c r="AM12" s="31" t="s">
        <v>2437</v>
      </c>
    </row>
    <row r="13" spans="2:39" x14ac:dyDescent="0.25">
      <c r="B13" s="18" t="s">
        <v>4200</v>
      </c>
      <c r="C13" s="44" t="s">
        <v>889</v>
      </c>
      <c r="D13" s="20" t="s">
        <v>2438</v>
      </c>
      <c r="E13" s="67" t="s">
        <v>3</v>
      </c>
      <c r="F13" s="51" t="s">
        <v>3</v>
      </c>
      <c r="G13" s="37" t="s">
        <v>3</v>
      </c>
      <c r="H13" s="68" t="s">
        <v>2715</v>
      </c>
      <c r="I13" s="62" t="s">
        <v>3310</v>
      </c>
      <c r="J13" s="61" t="s">
        <v>3</v>
      </c>
      <c r="K13" s="4">
        <v>2996646</v>
      </c>
      <c r="L13" s="39">
        <v>102.754</v>
      </c>
      <c r="M13" s="4">
        <v>3062069</v>
      </c>
      <c r="N13" s="4">
        <v>2980000</v>
      </c>
      <c r="O13" s="4">
        <v>2985486</v>
      </c>
      <c r="P13" s="4">
        <v>0</v>
      </c>
      <c r="Q13" s="4">
        <v>-3394</v>
      </c>
      <c r="R13" s="4">
        <v>0</v>
      </c>
      <c r="S13" s="4">
        <v>0</v>
      </c>
      <c r="T13" s="23">
        <v>1.875</v>
      </c>
      <c r="U13" s="23">
        <v>1.756</v>
      </c>
      <c r="V13" s="5" t="s">
        <v>1982</v>
      </c>
      <c r="W13" s="4">
        <v>23382</v>
      </c>
      <c r="X13" s="4">
        <v>55875</v>
      </c>
      <c r="Y13" s="11">
        <v>42968</v>
      </c>
      <c r="Z13" s="11">
        <v>44773</v>
      </c>
      <c r="AA13" s="2"/>
      <c r="AB13" s="63" t="s">
        <v>3840</v>
      </c>
      <c r="AC13" s="5" t="s">
        <v>4198</v>
      </c>
      <c r="AD13" s="2"/>
      <c r="AE13" s="6"/>
      <c r="AF13" s="23"/>
      <c r="AG13" s="6"/>
      <c r="AH13" s="5" t="s">
        <v>3</v>
      </c>
      <c r="AI13" s="5" t="s">
        <v>3841</v>
      </c>
      <c r="AJ13" s="5" t="s">
        <v>3533</v>
      </c>
      <c r="AK13" s="16" t="s">
        <v>3</v>
      </c>
      <c r="AL13" s="65" t="s">
        <v>3842</v>
      </c>
      <c r="AM13" s="31" t="s">
        <v>2437</v>
      </c>
    </row>
    <row r="14" spans="2:39" x14ac:dyDescent="0.25">
      <c r="B14" s="18" t="s">
        <v>890</v>
      </c>
      <c r="C14" s="44" t="s">
        <v>249</v>
      </c>
      <c r="D14" s="20" t="s">
        <v>2438</v>
      </c>
      <c r="E14" s="67" t="s">
        <v>3</v>
      </c>
      <c r="F14" s="51" t="s">
        <v>3</v>
      </c>
      <c r="G14" s="37" t="s">
        <v>3</v>
      </c>
      <c r="H14" s="68" t="s">
        <v>2715</v>
      </c>
      <c r="I14" s="62" t="s">
        <v>3310</v>
      </c>
      <c r="J14" s="61" t="s">
        <v>3</v>
      </c>
      <c r="K14" s="4">
        <v>5008985</v>
      </c>
      <c r="L14" s="39">
        <v>107.65600000000001</v>
      </c>
      <c r="M14" s="4">
        <v>5382800</v>
      </c>
      <c r="N14" s="4">
        <v>5000000</v>
      </c>
      <c r="O14" s="4">
        <v>5005090</v>
      </c>
      <c r="P14" s="4">
        <v>0</v>
      </c>
      <c r="Q14" s="4">
        <v>-1260</v>
      </c>
      <c r="R14" s="4">
        <v>0</v>
      </c>
      <c r="S14" s="4">
        <v>0</v>
      </c>
      <c r="T14" s="23">
        <v>2.25</v>
      </c>
      <c r="U14" s="23">
        <v>2.222</v>
      </c>
      <c r="V14" s="5" t="s">
        <v>3843</v>
      </c>
      <c r="W14" s="4">
        <v>19268</v>
      </c>
      <c r="X14" s="4">
        <v>112500</v>
      </c>
      <c r="Y14" s="11">
        <v>43039</v>
      </c>
      <c r="Z14" s="11">
        <v>45596</v>
      </c>
      <c r="AA14" s="2"/>
      <c r="AB14" s="63" t="s">
        <v>3840</v>
      </c>
      <c r="AC14" s="5" t="s">
        <v>4198</v>
      </c>
      <c r="AD14" s="2"/>
      <c r="AE14" s="6"/>
      <c r="AF14" s="23"/>
      <c r="AG14" s="6"/>
      <c r="AH14" s="5" t="s">
        <v>3</v>
      </c>
      <c r="AI14" s="5" t="s">
        <v>3841</v>
      </c>
      <c r="AJ14" s="5" t="s">
        <v>3533</v>
      </c>
      <c r="AK14" s="16" t="s">
        <v>3</v>
      </c>
      <c r="AL14" s="65" t="s">
        <v>3842</v>
      </c>
      <c r="AM14" s="31" t="s">
        <v>2437</v>
      </c>
    </row>
    <row r="15" spans="2:39" x14ac:dyDescent="0.25">
      <c r="B15" s="18" t="s">
        <v>1983</v>
      </c>
      <c r="C15" s="44" t="s">
        <v>3311</v>
      </c>
      <c r="D15" s="20" t="s">
        <v>2438</v>
      </c>
      <c r="E15" s="67" t="s">
        <v>3</v>
      </c>
      <c r="F15" s="51" t="s">
        <v>3</v>
      </c>
      <c r="G15" s="37" t="s">
        <v>3</v>
      </c>
      <c r="H15" s="68" t="s">
        <v>2715</v>
      </c>
      <c r="I15" s="62" t="s">
        <v>3310</v>
      </c>
      <c r="J15" s="61" t="s">
        <v>3</v>
      </c>
      <c r="K15" s="4">
        <v>4980078</v>
      </c>
      <c r="L15" s="39">
        <v>102.379</v>
      </c>
      <c r="M15" s="4">
        <v>5118950</v>
      </c>
      <c r="N15" s="4">
        <v>5000000</v>
      </c>
      <c r="O15" s="4">
        <v>4993339</v>
      </c>
      <c r="P15" s="4">
        <v>0</v>
      </c>
      <c r="Q15" s="4">
        <v>6787</v>
      </c>
      <c r="R15" s="4">
        <v>0</v>
      </c>
      <c r="S15" s="4">
        <v>0</v>
      </c>
      <c r="T15" s="23">
        <v>2.625</v>
      </c>
      <c r="U15" s="23">
        <v>2.7669999999999999</v>
      </c>
      <c r="V15" s="5" t="s">
        <v>3844</v>
      </c>
      <c r="W15" s="4">
        <v>6130</v>
      </c>
      <c r="X15" s="4">
        <v>131250</v>
      </c>
      <c r="Y15" s="11">
        <v>43447</v>
      </c>
      <c r="Z15" s="11">
        <v>44545</v>
      </c>
      <c r="AA15" s="2"/>
      <c r="AB15" s="63" t="s">
        <v>3840</v>
      </c>
      <c r="AC15" s="5" t="s">
        <v>4198</v>
      </c>
      <c r="AD15" s="2"/>
      <c r="AE15" s="6"/>
      <c r="AF15" s="23"/>
      <c r="AG15" s="6"/>
      <c r="AH15" s="5" t="s">
        <v>3</v>
      </c>
      <c r="AI15" s="5" t="s">
        <v>3841</v>
      </c>
      <c r="AJ15" s="5" t="s">
        <v>3533</v>
      </c>
      <c r="AK15" s="16" t="s">
        <v>3</v>
      </c>
      <c r="AL15" s="65" t="s">
        <v>3842</v>
      </c>
      <c r="AM15" s="31" t="s">
        <v>2437</v>
      </c>
    </row>
    <row r="16" spans="2:39" x14ac:dyDescent="0.25">
      <c r="B16" s="18" t="s">
        <v>3068</v>
      </c>
      <c r="C16" s="44" t="s">
        <v>1152</v>
      </c>
      <c r="D16" s="20" t="s">
        <v>2438</v>
      </c>
      <c r="E16" s="67" t="s">
        <v>1628</v>
      </c>
      <c r="F16" s="51" t="s">
        <v>3</v>
      </c>
      <c r="G16" s="37" t="s">
        <v>3</v>
      </c>
      <c r="H16" s="68" t="s">
        <v>2715</v>
      </c>
      <c r="I16" s="62" t="s">
        <v>3310</v>
      </c>
      <c r="J16" s="61" t="s">
        <v>3</v>
      </c>
      <c r="K16" s="4">
        <v>1633841</v>
      </c>
      <c r="L16" s="39">
        <v>109.211</v>
      </c>
      <c r="M16" s="4">
        <v>1788876</v>
      </c>
      <c r="N16" s="4">
        <v>1638000</v>
      </c>
      <c r="O16" s="4">
        <v>1635393</v>
      </c>
      <c r="P16" s="4">
        <v>0</v>
      </c>
      <c r="Q16" s="4">
        <v>501</v>
      </c>
      <c r="R16" s="4">
        <v>0</v>
      </c>
      <c r="S16" s="4">
        <v>0</v>
      </c>
      <c r="T16" s="23">
        <v>2.25</v>
      </c>
      <c r="U16" s="23">
        <v>2.2850000000000001</v>
      </c>
      <c r="V16" s="5" t="s">
        <v>3312</v>
      </c>
      <c r="W16" s="4">
        <v>4785</v>
      </c>
      <c r="X16" s="4">
        <v>38936</v>
      </c>
      <c r="Y16" s="11">
        <v>43041</v>
      </c>
      <c r="Z16" s="11">
        <v>45976</v>
      </c>
      <c r="AA16" s="2"/>
      <c r="AB16" s="63" t="s">
        <v>3840</v>
      </c>
      <c r="AC16" s="5" t="s">
        <v>4198</v>
      </c>
      <c r="AD16" s="2"/>
      <c r="AE16" s="6"/>
      <c r="AF16" s="23"/>
      <c r="AG16" s="6"/>
      <c r="AH16" s="5" t="s">
        <v>3</v>
      </c>
      <c r="AI16" s="5" t="s">
        <v>3841</v>
      </c>
      <c r="AJ16" s="5" t="s">
        <v>3533</v>
      </c>
      <c r="AK16" s="16" t="s">
        <v>3</v>
      </c>
      <c r="AL16" s="65" t="s">
        <v>3842</v>
      </c>
      <c r="AM16" s="31" t="s">
        <v>2437</v>
      </c>
    </row>
    <row r="17" spans="2:39" x14ac:dyDescent="0.25">
      <c r="B17" s="18" t="s">
        <v>891</v>
      </c>
      <c r="C17" s="44" t="s">
        <v>1152</v>
      </c>
      <c r="D17" s="20" t="s">
        <v>2438</v>
      </c>
      <c r="E17" s="67" t="s">
        <v>3</v>
      </c>
      <c r="F17" s="51" t="s">
        <v>3</v>
      </c>
      <c r="G17" s="37" t="s">
        <v>3</v>
      </c>
      <c r="H17" s="68" t="s">
        <v>2715</v>
      </c>
      <c r="I17" s="62" t="s">
        <v>3310</v>
      </c>
      <c r="J17" s="61" t="s">
        <v>3</v>
      </c>
      <c r="K17" s="4">
        <v>3353464</v>
      </c>
      <c r="L17" s="39">
        <v>109.211</v>
      </c>
      <c r="M17" s="4">
        <v>3671674</v>
      </c>
      <c r="N17" s="4">
        <v>3362000</v>
      </c>
      <c r="O17" s="4">
        <v>3356646</v>
      </c>
      <c r="P17" s="4">
        <v>0</v>
      </c>
      <c r="Q17" s="4">
        <v>1028</v>
      </c>
      <c r="R17" s="4">
        <v>0</v>
      </c>
      <c r="S17" s="4">
        <v>0</v>
      </c>
      <c r="T17" s="23">
        <v>2.25</v>
      </c>
      <c r="U17" s="23">
        <v>2.2850000000000001</v>
      </c>
      <c r="V17" s="5" t="s">
        <v>3312</v>
      </c>
      <c r="W17" s="4">
        <v>9821</v>
      </c>
      <c r="X17" s="4">
        <v>79917</v>
      </c>
      <c r="Y17" s="11">
        <v>43041</v>
      </c>
      <c r="Z17" s="11">
        <v>45976</v>
      </c>
      <c r="AA17" s="2"/>
      <c r="AB17" s="63" t="s">
        <v>3840</v>
      </c>
      <c r="AC17" s="5" t="s">
        <v>4198</v>
      </c>
      <c r="AD17" s="2"/>
      <c r="AE17" s="6"/>
      <c r="AF17" s="23"/>
      <c r="AG17" s="6"/>
      <c r="AH17" s="5" t="s">
        <v>3</v>
      </c>
      <c r="AI17" s="5" t="s">
        <v>3841</v>
      </c>
      <c r="AJ17" s="5" t="s">
        <v>3533</v>
      </c>
      <c r="AK17" s="16" t="s">
        <v>3</v>
      </c>
      <c r="AL17" s="65" t="s">
        <v>3842</v>
      </c>
      <c r="AM17" s="31" t="s">
        <v>2437</v>
      </c>
    </row>
    <row r="18" spans="2:39" x14ac:dyDescent="0.25">
      <c r="B18" s="18" t="s">
        <v>1984</v>
      </c>
      <c r="C18" s="44" t="s">
        <v>3845</v>
      </c>
      <c r="D18" s="20" t="s">
        <v>2438</v>
      </c>
      <c r="E18" s="67" t="s">
        <v>3066</v>
      </c>
      <c r="F18" s="51" t="s">
        <v>3</v>
      </c>
      <c r="G18" s="37" t="s">
        <v>3</v>
      </c>
      <c r="H18" s="68" t="s">
        <v>2715</v>
      </c>
      <c r="I18" s="62" t="s">
        <v>3310</v>
      </c>
      <c r="J18" s="61" t="s">
        <v>3</v>
      </c>
      <c r="K18" s="4">
        <v>1425583</v>
      </c>
      <c r="L18" s="39">
        <v>106.461</v>
      </c>
      <c r="M18" s="4">
        <v>1527715</v>
      </c>
      <c r="N18" s="4">
        <v>1435000</v>
      </c>
      <c r="O18" s="4">
        <v>1429815</v>
      </c>
      <c r="P18" s="4">
        <v>0</v>
      </c>
      <c r="Q18" s="4">
        <v>1060</v>
      </c>
      <c r="R18" s="4">
        <v>0</v>
      </c>
      <c r="S18" s="4">
        <v>0</v>
      </c>
      <c r="T18" s="23">
        <v>1.625</v>
      </c>
      <c r="U18" s="23">
        <v>1.6970000000000001</v>
      </c>
      <c r="V18" s="5" t="s">
        <v>3312</v>
      </c>
      <c r="W18" s="4">
        <v>2947</v>
      </c>
      <c r="X18" s="4">
        <v>23319</v>
      </c>
      <c r="Y18" s="11">
        <v>42543</v>
      </c>
      <c r="Z18" s="11">
        <v>46157</v>
      </c>
      <c r="AA18" s="2"/>
      <c r="AB18" s="63" t="s">
        <v>3840</v>
      </c>
      <c r="AC18" s="5" t="s">
        <v>4198</v>
      </c>
      <c r="AD18" s="2"/>
      <c r="AE18" s="6"/>
      <c r="AF18" s="23"/>
      <c r="AG18" s="6"/>
      <c r="AH18" s="5" t="s">
        <v>3</v>
      </c>
      <c r="AI18" s="5" t="s">
        <v>3841</v>
      </c>
      <c r="AJ18" s="5" t="s">
        <v>3533</v>
      </c>
      <c r="AK18" s="16" t="s">
        <v>3</v>
      </c>
      <c r="AL18" s="65" t="s">
        <v>3842</v>
      </c>
      <c r="AM18" s="31" t="s">
        <v>2437</v>
      </c>
    </row>
    <row r="19" spans="2:39" x14ac:dyDescent="0.25">
      <c r="B19" s="18" t="s">
        <v>3069</v>
      </c>
      <c r="C19" s="44" t="s">
        <v>3845</v>
      </c>
      <c r="D19" s="20" t="s">
        <v>2438</v>
      </c>
      <c r="E19" s="67" t="s">
        <v>3</v>
      </c>
      <c r="F19" s="51" t="s">
        <v>3</v>
      </c>
      <c r="G19" s="37" t="s">
        <v>3</v>
      </c>
      <c r="H19" s="68" t="s">
        <v>2715</v>
      </c>
      <c r="I19" s="62" t="s">
        <v>3310</v>
      </c>
      <c r="J19" s="61" t="s">
        <v>3</v>
      </c>
      <c r="K19" s="4">
        <v>14902</v>
      </c>
      <c r="L19" s="39">
        <v>106.461</v>
      </c>
      <c r="M19" s="4">
        <v>15969</v>
      </c>
      <c r="N19" s="4">
        <v>15000</v>
      </c>
      <c r="O19" s="4">
        <v>14946</v>
      </c>
      <c r="P19" s="4">
        <v>0</v>
      </c>
      <c r="Q19" s="4">
        <v>11</v>
      </c>
      <c r="R19" s="4">
        <v>0</v>
      </c>
      <c r="S19" s="4">
        <v>0</v>
      </c>
      <c r="T19" s="23">
        <v>1.625</v>
      </c>
      <c r="U19" s="23">
        <v>1.6970000000000001</v>
      </c>
      <c r="V19" s="5" t="s">
        <v>3312</v>
      </c>
      <c r="W19" s="4">
        <v>31</v>
      </c>
      <c r="X19" s="4">
        <v>244</v>
      </c>
      <c r="Y19" s="11">
        <v>42543</v>
      </c>
      <c r="Z19" s="11">
        <v>46157</v>
      </c>
      <c r="AA19" s="2"/>
      <c r="AB19" s="63" t="s">
        <v>3840</v>
      </c>
      <c r="AC19" s="5" t="s">
        <v>4198</v>
      </c>
      <c r="AD19" s="2"/>
      <c r="AE19" s="6"/>
      <c r="AF19" s="23"/>
      <c r="AG19" s="6"/>
      <c r="AH19" s="5" t="s">
        <v>3</v>
      </c>
      <c r="AI19" s="5" t="s">
        <v>3841</v>
      </c>
      <c r="AJ19" s="5" t="s">
        <v>3533</v>
      </c>
      <c r="AK19" s="16" t="s">
        <v>3</v>
      </c>
      <c r="AL19" s="65" t="s">
        <v>3842</v>
      </c>
      <c r="AM19" s="31" t="s">
        <v>2437</v>
      </c>
    </row>
    <row r="20" spans="2:39" x14ac:dyDescent="0.25">
      <c r="B20" s="18" t="s">
        <v>4201</v>
      </c>
      <c r="C20" s="44" t="s">
        <v>551</v>
      </c>
      <c r="D20" s="20" t="s">
        <v>2438</v>
      </c>
      <c r="E20" s="67" t="s">
        <v>3</v>
      </c>
      <c r="F20" s="51" t="s">
        <v>3</v>
      </c>
      <c r="G20" s="37" t="s">
        <v>3</v>
      </c>
      <c r="H20" s="68" t="s">
        <v>2715</v>
      </c>
      <c r="I20" s="62" t="s">
        <v>3310</v>
      </c>
      <c r="J20" s="61" t="s">
        <v>3</v>
      </c>
      <c r="K20" s="4">
        <v>4935547</v>
      </c>
      <c r="L20" s="39">
        <v>100.508</v>
      </c>
      <c r="M20" s="4">
        <v>5025400</v>
      </c>
      <c r="N20" s="4">
        <v>5000000</v>
      </c>
      <c r="O20" s="4">
        <v>4992554</v>
      </c>
      <c r="P20" s="4">
        <v>0</v>
      </c>
      <c r="Q20" s="4">
        <v>17999</v>
      </c>
      <c r="R20" s="4">
        <v>0</v>
      </c>
      <c r="S20" s="4">
        <v>0</v>
      </c>
      <c r="T20" s="23">
        <v>1.375</v>
      </c>
      <c r="U20" s="23">
        <v>1.738</v>
      </c>
      <c r="V20" s="5" t="s">
        <v>3312</v>
      </c>
      <c r="W20" s="4">
        <v>6077</v>
      </c>
      <c r="X20" s="4">
        <v>68750</v>
      </c>
      <c r="Y20" s="11">
        <v>43007</v>
      </c>
      <c r="Z20" s="11">
        <v>44347</v>
      </c>
      <c r="AA20" s="2"/>
      <c r="AB20" s="63" t="s">
        <v>3840</v>
      </c>
      <c r="AC20" s="5" t="s">
        <v>4198</v>
      </c>
      <c r="AD20" s="2"/>
      <c r="AE20" s="6"/>
      <c r="AF20" s="23"/>
      <c r="AG20" s="6"/>
      <c r="AH20" s="5" t="s">
        <v>3</v>
      </c>
      <c r="AI20" s="5" t="s">
        <v>3841</v>
      </c>
      <c r="AJ20" s="5" t="s">
        <v>3533</v>
      </c>
      <c r="AK20" s="16" t="s">
        <v>3</v>
      </c>
      <c r="AL20" s="65" t="s">
        <v>3842</v>
      </c>
      <c r="AM20" s="31" t="s">
        <v>2437</v>
      </c>
    </row>
    <row r="21" spans="2:39" x14ac:dyDescent="0.25">
      <c r="B21" s="18" t="s">
        <v>892</v>
      </c>
      <c r="C21" s="44" t="s">
        <v>3070</v>
      </c>
      <c r="D21" s="20" t="s">
        <v>2438</v>
      </c>
      <c r="E21" s="67" t="s">
        <v>1628</v>
      </c>
      <c r="F21" s="51" t="s">
        <v>3</v>
      </c>
      <c r="G21" s="37" t="s">
        <v>3</v>
      </c>
      <c r="H21" s="68" t="s">
        <v>2715</v>
      </c>
      <c r="I21" s="62" t="s">
        <v>3310</v>
      </c>
      <c r="J21" s="61" t="s">
        <v>3</v>
      </c>
      <c r="K21" s="4">
        <v>416942</v>
      </c>
      <c r="L21" s="39">
        <v>101.629</v>
      </c>
      <c r="M21" s="4">
        <v>420744</v>
      </c>
      <c r="N21" s="4">
        <v>414000</v>
      </c>
      <c r="O21" s="4">
        <v>414352</v>
      </c>
      <c r="P21" s="4">
        <v>0</v>
      </c>
      <c r="Q21" s="4">
        <v>-397</v>
      </c>
      <c r="R21" s="4">
        <v>0</v>
      </c>
      <c r="S21" s="4">
        <v>0</v>
      </c>
      <c r="T21" s="23">
        <v>2</v>
      </c>
      <c r="U21" s="23">
        <v>1.901</v>
      </c>
      <c r="V21" s="5" t="s">
        <v>3312</v>
      </c>
      <c r="W21" s="4">
        <v>1075</v>
      </c>
      <c r="X21" s="4">
        <v>8259</v>
      </c>
      <c r="Y21" s="11">
        <v>42277</v>
      </c>
      <c r="Z21" s="11">
        <v>44515</v>
      </c>
      <c r="AA21" s="2"/>
      <c r="AB21" s="63" t="s">
        <v>3840</v>
      </c>
      <c r="AC21" s="5" t="s">
        <v>4198</v>
      </c>
      <c r="AD21" s="2"/>
      <c r="AE21" s="6"/>
      <c r="AF21" s="23"/>
      <c r="AG21" s="6"/>
      <c r="AH21" s="5" t="s">
        <v>3</v>
      </c>
      <c r="AI21" s="5" t="s">
        <v>3841</v>
      </c>
      <c r="AJ21" s="5" t="s">
        <v>3533</v>
      </c>
      <c r="AK21" s="16" t="s">
        <v>3</v>
      </c>
      <c r="AL21" s="65" t="s">
        <v>2715</v>
      </c>
      <c r="AM21" s="31" t="s">
        <v>2437</v>
      </c>
    </row>
    <row r="22" spans="2:39" x14ac:dyDescent="0.25">
      <c r="B22" s="18" t="s">
        <v>1985</v>
      </c>
      <c r="C22" s="44" t="s">
        <v>3070</v>
      </c>
      <c r="D22" s="20" t="s">
        <v>2438</v>
      </c>
      <c r="E22" s="67" t="s">
        <v>3066</v>
      </c>
      <c r="F22" s="51" t="s">
        <v>3</v>
      </c>
      <c r="G22" s="37" t="s">
        <v>3</v>
      </c>
      <c r="H22" s="68" t="s">
        <v>2715</v>
      </c>
      <c r="I22" s="62" t="s">
        <v>3310</v>
      </c>
      <c r="J22" s="61" t="s">
        <v>3</v>
      </c>
      <c r="K22" s="4">
        <v>256812</v>
      </c>
      <c r="L22" s="39">
        <v>101.629</v>
      </c>
      <c r="M22" s="4">
        <v>259154</v>
      </c>
      <c r="N22" s="4">
        <v>255000</v>
      </c>
      <c r="O22" s="4">
        <v>255217</v>
      </c>
      <c r="P22" s="4">
        <v>0</v>
      </c>
      <c r="Q22" s="4">
        <v>-244</v>
      </c>
      <c r="R22" s="4">
        <v>0</v>
      </c>
      <c r="S22" s="4">
        <v>0</v>
      </c>
      <c r="T22" s="23">
        <v>2</v>
      </c>
      <c r="U22" s="23">
        <v>1.901</v>
      </c>
      <c r="V22" s="5" t="s">
        <v>3312</v>
      </c>
      <c r="W22" s="4">
        <v>662</v>
      </c>
      <c r="X22" s="4">
        <v>5101</v>
      </c>
      <c r="Y22" s="11">
        <v>42277</v>
      </c>
      <c r="Z22" s="11">
        <v>44515</v>
      </c>
      <c r="AA22" s="2"/>
      <c r="AB22" s="63" t="s">
        <v>3840</v>
      </c>
      <c r="AC22" s="5" t="s">
        <v>4198</v>
      </c>
      <c r="AD22" s="2"/>
      <c r="AE22" s="6"/>
      <c r="AF22" s="23"/>
      <c r="AG22" s="6"/>
      <c r="AH22" s="5" t="s">
        <v>3</v>
      </c>
      <c r="AI22" s="5" t="s">
        <v>3841</v>
      </c>
      <c r="AJ22" s="5" t="s">
        <v>3533</v>
      </c>
      <c r="AK22" s="16" t="s">
        <v>3</v>
      </c>
      <c r="AL22" s="65" t="s">
        <v>2715</v>
      </c>
      <c r="AM22" s="31" t="s">
        <v>2437</v>
      </c>
    </row>
    <row r="23" spans="2:39" x14ac:dyDescent="0.25">
      <c r="B23" s="18" t="s">
        <v>3071</v>
      </c>
      <c r="C23" s="44" t="s">
        <v>3070</v>
      </c>
      <c r="D23" s="20" t="s">
        <v>2438</v>
      </c>
      <c r="E23" s="67" t="s">
        <v>3</v>
      </c>
      <c r="F23" s="51" t="s">
        <v>3</v>
      </c>
      <c r="G23" s="37" t="s">
        <v>3</v>
      </c>
      <c r="H23" s="68" t="s">
        <v>2715</v>
      </c>
      <c r="I23" s="62" t="s">
        <v>3310</v>
      </c>
      <c r="J23" s="61" t="s">
        <v>3</v>
      </c>
      <c r="K23" s="4">
        <v>224585</v>
      </c>
      <c r="L23" s="39">
        <v>101.629</v>
      </c>
      <c r="M23" s="4">
        <v>226633</v>
      </c>
      <c r="N23" s="4">
        <v>223000</v>
      </c>
      <c r="O23" s="4">
        <v>223190</v>
      </c>
      <c r="P23" s="4">
        <v>0</v>
      </c>
      <c r="Q23" s="4">
        <v>-214</v>
      </c>
      <c r="R23" s="4">
        <v>0</v>
      </c>
      <c r="S23" s="4">
        <v>0</v>
      </c>
      <c r="T23" s="23">
        <v>2</v>
      </c>
      <c r="U23" s="23">
        <v>1.901</v>
      </c>
      <c r="V23" s="5" t="s">
        <v>3312</v>
      </c>
      <c r="W23" s="4">
        <v>579</v>
      </c>
      <c r="X23" s="4">
        <v>4465</v>
      </c>
      <c r="Y23" s="11">
        <v>42277</v>
      </c>
      <c r="Z23" s="11">
        <v>44515</v>
      </c>
      <c r="AA23" s="2"/>
      <c r="AB23" s="63" t="s">
        <v>3840</v>
      </c>
      <c r="AC23" s="5" t="s">
        <v>4198</v>
      </c>
      <c r="AD23" s="2"/>
      <c r="AE23" s="6"/>
      <c r="AF23" s="23"/>
      <c r="AG23" s="6"/>
      <c r="AH23" s="5" t="s">
        <v>3</v>
      </c>
      <c r="AI23" s="5" t="s">
        <v>3841</v>
      </c>
      <c r="AJ23" s="5" t="s">
        <v>3533</v>
      </c>
      <c r="AK23" s="16" t="s">
        <v>3</v>
      </c>
      <c r="AL23" s="65" t="s">
        <v>2715</v>
      </c>
      <c r="AM23" s="31" t="s">
        <v>2437</v>
      </c>
    </row>
    <row r="24" spans="2:39" x14ac:dyDescent="0.25">
      <c r="B24" s="18" t="s">
        <v>4202</v>
      </c>
      <c r="C24" s="44" t="s">
        <v>552</v>
      </c>
      <c r="D24" s="20" t="s">
        <v>2438</v>
      </c>
      <c r="E24" s="67" t="s">
        <v>1628</v>
      </c>
      <c r="F24" s="51" t="s">
        <v>3</v>
      </c>
      <c r="G24" s="37" t="s">
        <v>3</v>
      </c>
      <c r="H24" s="68" t="s">
        <v>2715</v>
      </c>
      <c r="I24" s="62" t="s">
        <v>3310</v>
      </c>
      <c r="J24" s="61" t="s">
        <v>3</v>
      </c>
      <c r="K24" s="4">
        <v>442494</v>
      </c>
      <c r="L24" s="39">
        <v>110.53100000000001</v>
      </c>
      <c r="M24" s="4">
        <v>497390</v>
      </c>
      <c r="N24" s="4">
        <v>450000</v>
      </c>
      <c r="O24" s="4">
        <v>445191</v>
      </c>
      <c r="P24" s="4">
        <v>0</v>
      </c>
      <c r="Q24" s="4">
        <v>720</v>
      </c>
      <c r="R24" s="4">
        <v>0</v>
      </c>
      <c r="S24" s="4">
        <v>0</v>
      </c>
      <c r="T24" s="23">
        <v>2.25</v>
      </c>
      <c r="U24" s="23">
        <v>2.4390000000000001</v>
      </c>
      <c r="V24" s="5" t="s">
        <v>248</v>
      </c>
      <c r="W24" s="4">
        <v>3824</v>
      </c>
      <c r="X24" s="4">
        <v>10125</v>
      </c>
      <c r="Y24" s="11">
        <v>42779</v>
      </c>
      <c r="Z24" s="11">
        <v>46433</v>
      </c>
      <c r="AA24" s="2"/>
      <c r="AB24" s="63" t="s">
        <v>3840</v>
      </c>
      <c r="AC24" s="5" t="s">
        <v>4198</v>
      </c>
      <c r="AD24" s="2"/>
      <c r="AE24" s="6"/>
      <c r="AF24" s="23"/>
      <c r="AG24" s="6"/>
      <c r="AH24" s="5" t="s">
        <v>3</v>
      </c>
      <c r="AI24" s="5" t="s">
        <v>3841</v>
      </c>
      <c r="AJ24" s="5" t="s">
        <v>3533</v>
      </c>
      <c r="AK24" s="16" t="s">
        <v>3</v>
      </c>
      <c r="AL24" s="65" t="s">
        <v>3842</v>
      </c>
      <c r="AM24" s="31" t="s">
        <v>2437</v>
      </c>
    </row>
    <row r="25" spans="2:39" x14ac:dyDescent="0.25">
      <c r="B25" s="18" t="s">
        <v>893</v>
      </c>
      <c r="C25" s="44" t="s">
        <v>1629</v>
      </c>
      <c r="D25" s="20" t="s">
        <v>2438</v>
      </c>
      <c r="E25" s="67" t="s">
        <v>1628</v>
      </c>
      <c r="F25" s="51" t="s">
        <v>3</v>
      </c>
      <c r="G25" s="37" t="s">
        <v>3</v>
      </c>
      <c r="H25" s="68" t="s">
        <v>2715</v>
      </c>
      <c r="I25" s="62" t="s">
        <v>3310</v>
      </c>
      <c r="J25" s="61" t="s">
        <v>3</v>
      </c>
      <c r="K25" s="4">
        <v>3349069</v>
      </c>
      <c r="L25" s="39">
        <v>103.797</v>
      </c>
      <c r="M25" s="4">
        <v>3497959</v>
      </c>
      <c r="N25" s="4">
        <v>3370000</v>
      </c>
      <c r="O25" s="4">
        <v>3361057</v>
      </c>
      <c r="P25" s="4">
        <v>0</v>
      </c>
      <c r="Q25" s="4">
        <v>3655</v>
      </c>
      <c r="R25" s="4">
        <v>0</v>
      </c>
      <c r="S25" s="4">
        <v>0</v>
      </c>
      <c r="T25" s="23">
        <v>1.75</v>
      </c>
      <c r="U25" s="23">
        <v>1.865</v>
      </c>
      <c r="V25" s="5" t="s">
        <v>3312</v>
      </c>
      <c r="W25" s="4">
        <v>7657</v>
      </c>
      <c r="X25" s="4">
        <v>73166</v>
      </c>
      <c r="Y25" s="10">
        <v>42972</v>
      </c>
      <c r="Z25" s="10">
        <v>45061</v>
      </c>
      <c r="AA25" s="2"/>
      <c r="AB25" s="63" t="s">
        <v>3840</v>
      </c>
      <c r="AC25" s="5" t="s">
        <v>4198</v>
      </c>
      <c r="AD25" s="2"/>
      <c r="AE25" s="6"/>
      <c r="AF25" s="23"/>
      <c r="AG25" s="6"/>
      <c r="AH25" s="5" t="s">
        <v>3</v>
      </c>
      <c r="AI25" s="5" t="s">
        <v>3841</v>
      </c>
      <c r="AJ25" s="5" t="s">
        <v>3533</v>
      </c>
      <c r="AK25" s="16" t="s">
        <v>3</v>
      </c>
      <c r="AL25" s="65" t="s">
        <v>2715</v>
      </c>
      <c r="AM25" s="31" t="s">
        <v>2437</v>
      </c>
    </row>
    <row r="26" spans="2:39" x14ac:dyDescent="0.25">
      <c r="B26" s="18" t="s">
        <v>2216</v>
      </c>
      <c r="C26" s="44" t="s">
        <v>1629</v>
      </c>
      <c r="D26" s="20" t="s">
        <v>2438</v>
      </c>
      <c r="E26" s="67" t="s">
        <v>3</v>
      </c>
      <c r="F26" s="51" t="s">
        <v>3</v>
      </c>
      <c r="G26" s="37" t="s">
        <v>3</v>
      </c>
      <c r="H26" s="68" t="s">
        <v>2715</v>
      </c>
      <c r="I26" s="62" t="s">
        <v>3310</v>
      </c>
      <c r="J26" s="61" t="s">
        <v>3</v>
      </c>
      <c r="K26" s="4">
        <v>626087</v>
      </c>
      <c r="L26" s="39">
        <v>103.797</v>
      </c>
      <c r="M26" s="4">
        <v>653921</v>
      </c>
      <c r="N26" s="4">
        <v>630000</v>
      </c>
      <c r="O26" s="4">
        <v>628328</v>
      </c>
      <c r="P26" s="4">
        <v>0</v>
      </c>
      <c r="Q26" s="4">
        <v>683</v>
      </c>
      <c r="R26" s="4">
        <v>0</v>
      </c>
      <c r="S26" s="4">
        <v>0</v>
      </c>
      <c r="T26" s="23">
        <v>1.75</v>
      </c>
      <c r="U26" s="23">
        <v>1.865</v>
      </c>
      <c r="V26" s="5" t="s">
        <v>3312</v>
      </c>
      <c r="W26" s="4">
        <v>1431</v>
      </c>
      <c r="X26" s="4">
        <v>13678</v>
      </c>
      <c r="Y26" s="10">
        <v>42972</v>
      </c>
      <c r="Z26" s="10">
        <v>45061</v>
      </c>
      <c r="AA26" s="2"/>
      <c r="AB26" s="63" t="s">
        <v>3840</v>
      </c>
      <c r="AC26" s="5" t="s">
        <v>4198</v>
      </c>
      <c r="AD26" s="2"/>
      <c r="AE26" s="6"/>
      <c r="AF26" s="23"/>
      <c r="AG26" s="6"/>
      <c r="AH26" s="5" t="s">
        <v>3</v>
      </c>
      <c r="AI26" s="5" t="s">
        <v>3841</v>
      </c>
      <c r="AJ26" s="5" t="s">
        <v>3533</v>
      </c>
      <c r="AK26" s="16" t="s">
        <v>3</v>
      </c>
      <c r="AL26" s="65" t="s">
        <v>2715</v>
      </c>
      <c r="AM26" s="31" t="s">
        <v>2437</v>
      </c>
    </row>
    <row r="27" spans="2:39" x14ac:dyDescent="0.25">
      <c r="B27" s="18" t="s">
        <v>4203</v>
      </c>
      <c r="C27" s="44" t="s">
        <v>3072</v>
      </c>
      <c r="D27" s="20" t="s">
        <v>2438</v>
      </c>
      <c r="E27" s="67" t="s">
        <v>1628</v>
      </c>
      <c r="F27" s="51" t="s">
        <v>3</v>
      </c>
      <c r="G27" s="37" t="s">
        <v>3</v>
      </c>
      <c r="H27" s="68" t="s">
        <v>2715</v>
      </c>
      <c r="I27" s="62" t="s">
        <v>3310</v>
      </c>
      <c r="J27" s="61" t="s">
        <v>3</v>
      </c>
      <c r="K27" s="4">
        <v>4556234</v>
      </c>
      <c r="L27" s="39">
        <v>106.15600000000001</v>
      </c>
      <c r="M27" s="4">
        <v>4670864</v>
      </c>
      <c r="N27" s="4">
        <v>4400000</v>
      </c>
      <c r="O27" s="4">
        <v>4471314</v>
      </c>
      <c r="P27" s="4">
        <v>0</v>
      </c>
      <c r="Q27" s="4">
        <v>-26300</v>
      </c>
      <c r="R27" s="4">
        <v>0</v>
      </c>
      <c r="S27" s="4">
        <v>0</v>
      </c>
      <c r="T27" s="23">
        <v>2.5</v>
      </c>
      <c r="U27" s="23">
        <v>1.8640000000000001</v>
      </c>
      <c r="V27" s="5" t="s">
        <v>248</v>
      </c>
      <c r="W27" s="4">
        <v>41549</v>
      </c>
      <c r="X27" s="4">
        <v>110000</v>
      </c>
      <c r="Y27" s="10">
        <v>42990</v>
      </c>
      <c r="Z27" s="10">
        <v>45153</v>
      </c>
      <c r="AA27" s="2"/>
      <c r="AB27" s="63" t="s">
        <v>3840</v>
      </c>
      <c r="AC27" s="5" t="s">
        <v>4198</v>
      </c>
      <c r="AD27" s="2"/>
      <c r="AE27" s="6"/>
      <c r="AF27" s="23"/>
      <c r="AG27" s="6"/>
      <c r="AH27" s="5" t="s">
        <v>3</v>
      </c>
      <c r="AI27" s="5" t="s">
        <v>3841</v>
      </c>
      <c r="AJ27" s="5" t="s">
        <v>3533</v>
      </c>
      <c r="AK27" s="16" t="s">
        <v>3</v>
      </c>
      <c r="AL27" s="65" t="s">
        <v>2715</v>
      </c>
      <c r="AM27" s="31" t="s">
        <v>2437</v>
      </c>
    </row>
    <row r="28" spans="2:39" x14ac:dyDescent="0.25">
      <c r="B28" s="18" t="s">
        <v>894</v>
      </c>
      <c r="C28" s="44" t="s">
        <v>3072</v>
      </c>
      <c r="D28" s="20" t="s">
        <v>2438</v>
      </c>
      <c r="E28" s="67" t="s">
        <v>3</v>
      </c>
      <c r="F28" s="51" t="s">
        <v>3</v>
      </c>
      <c r="G28" s="37" t="s">
        <v>3</v>
      </c>
      <c r="H28" s="68" t="s">
        <v>2715</v>
      </c>
      <c r="I28" s="62" t="s">
        <v>3310</v>
      </c>
      <c r="J28" s="61" t="s">
        <v>3</v>
      </c>
      <c r="K28" s="4">
        <v>414203</v>
      </c>
      <c r="L28" s="39">
        <v>106.15600000000001</v>
      </c>
      <c r="M28" s="4">
        <v>424624</v>
      </c>
      <c r="N28" s="4">
        <v>400000</v>
      </c>
      <c r="O28" s="4">
        <v>406483</v>
      </c>
      <c r="P28" s="4">
        <v>0</v>
      </c>
      <c r="Q28" s="4">
        <v>-2391</v>
      </c>
      <c r="R28" s="4">
        <v>0</v>
      </c>
      <c r="S28" s="4">
        <v>0</v>
      </c>
      <c r="T28" s="23">
        <v>2.5</v>
      </c>
      <c r="U28" s="23">
        <v>1.8640000000000001</v>
      </c>
      <c r="V28" s="5" t="s">
        <v>248</v>
      </c>
      <c r="W28" s="4">
        <v>3777</v>
      </c>
      <c r="X28" s="4">
        <v>10000</v>
      </c>
      <c r="Y28" s="10">
        <v>42990</v>
      </c>
      <c r="Z28" s="10">
        <v>45153</v>
      </c>
      <c r="AA28" s="2"/>
      <c r="AB28" s="63" t="s">
        <v>3840</v>
      </c>
      <c r="AC28" s="5" t="s">
        <v>4198</v>
      </c>
      <c r="AD28" s="2"/>
      <c r="AE28" s="6"/>
      <c r="AF28" s="23"/>
      <c r="AG28" s="6"/>
      <c r="AH28" s="5" t="s">
        <v>3</v>
      </c>
      <c r="AI28" s="5" t="s">
        <v>3841</v>
      </c>
      <c r="AJ28" s="5" t="s">
        <v>3533</v>
      </c>
      <c r="AK28" s="16" t="s">
        <v>3</v>
      </c>
      <c r="AL28" s="65" t="s">
        <v>2715</v>
      </c>
      <c r="AM28" s="31" t="s">
        <v>2437</v>
      </c>
    </row>
    <row r="29" spans="2:39" x14ac:dyDescent="0.25">
      <c r="B29" s="18" t="s">
        <v>1986</v>
      </c>
      <c r="C29" s="44" t="s">
        <v>1153</v>
      </c>
      <c r="D29" s="20" t="s">
        <v>2438</v>
      </c>
      <c r="E29" s="67" t="s">
        <v>3</v>
      </c>
      <c r="F29" s="51" t="s">
        <v>3</v>
      </c>
      <c r="G29" s="37" t="s">
        <v>3</v>
      </c>
      <c r="H29" s="68" t="s">
        <v>2715</v>
      </c>
      <c r="I29" s="62" t="s">
        <v>3310</v>
      </c>
      <c r="J29" s="61" t="s">
        <v>3</v>
      </c>
      <c r="K29" s="4">
        <v>4958203</v>
      </c>
      <c r="L29" s="39">
        <v>102.422</v>
      </c>
      <c r="M29" s="4">
        <v>5121100</v>
      </c>
      <c r="N29" s="4">
        <v>5000000</v>
      </c>
      <c r="O29" s="4">
        <v>4986330</v>
      </c>
      <c r="P29" s="4">
        <v>0</v>
      </c>
      <c r="Q29" s="4">
        <v>8913</v>
      </c>
      <c r="R29" s="4">
        <v>0</v>
      </c>
      <c r="S29" s="4">
        <v>0</v>
      </c>
      <c r="T29" s="23">
        <v>1.75</v>
      </c>
      <c r="U29" s="23">
        <v>1.9359999999999999</v>
      </c>
      <c r="V29" s="5" t="s">
        <v>3844</v>
      </c>
      <c r="W29" s="4">
        <v>242</v>
      </c>
      <c r="X29" s="4">
        <v>87500</v>
      </c>
      <c r="Y29" s="10">
        <v>43020</v>
      </c>
      <c r="Z29" s="10">
        <v>44742</v>
      </c>
      <c r="AA29" s="2"/>
      <c r="AB29" s="63" t="s">
        <v>3840</v>
      </c>
      <c r="AC29" s="5" t="s">
        <v>4198</v>
      </c>
      <c r="AD29" s="2"/>
      <c r="AE29" s="6"/>
      <c r="AF29" s="23"/>
      <c r="AG29" s="6"/>
      <c r="AH29" s="5" t="s">
        <v>3</v>
      </c>
      <c r="AI29" s="5" t="s">
        <v>3841</v>
      </c>
      <c r="AJ29" s="5" t="s">
        <v>3533</v>
      </c>
      <c r="AK29" s="16" t="s">
        <v>3</v>
      </c>
      <c r="AL29" s="65" t="s">
        <v>3842</v>
      </c>
      <c r="AM29" s="31" t="s">
        <v>2437</v>
      </c>
    </row>
    <row r="30" spans="2:39" x14ac:dyDescent="0.25">
      <c r="B30" s="18" t="s">
        <v>3073</v>
      </c>
      <c r="C30" s="44" t="s">
        <v>3313</v>
      </c>
      <c r="D30" s="20" t="s">
        <v>2438</v>
      </c>
      <c r="E30" s="67" t="s">
        <v>3</v>
      </c>
      <c r="F30" s="51" t="s">
        <v>3</v>
      </c>
      <c r="G30" s="37" t="s">
        <v>3</v>
      </c>
      <c r="H30" s="68" t="s">
        <v>2715</v>
      </c>
      <c r="I30" s="62" t="s">
        <v>3310</v>
      </c>
      <c r="J30" s="61" t="s">
        <v>250</v>
      </c>
      <c r="K30" s="4">
        <v>49953126</v>
      </c>
      <c r="L30" s="39">
        <v>99.921999999999997</v>
      </c>
      <c r="M30" s="4">
        <v>49961001</v>
      </c>
      <c r="N30" s="4">
        <v>50000000</v>
      </c>
      <c r="O30" s="4">
        <v>49953449</v>
      </c>
      <c r="P30" s="4">
        <v>0</v>
      </c>
      <c r="Q30" s="4">
        <v>323</v>
      </c>
      <c r="R30" s="4">
        <v>0</v>
      </c>
      <c r="S30" s="4">
        <v>0</v>
      </c>
      <c r="T30" s="23">
        <v>0.125</v>
      </c>
      <c r="U30" s="23">
        <v>0.158</v>
      </c>
      <c r="V30" s="5" t="s">
        <v>3843</v>
      </c>
      <c r="W30" s="4">
        <v>13393</v>
      </c>
      <c r="X30" s="4">
        <v>0</v>
      </c>
      <c r="Y30" s="10">
        <v>44188</v>
      </c>
      <c r="Z30" s="10">
        <v>45214</v>
      </c>
      <c r="AA30" s="2"/>
      <c r="AB30" s="63" t="s">
        <v>3840</v>
      </c>
      <c r="AC30" s="5" t="s">
        <v>4198</v>
      </c>
      <c r="AD30" s="2"/>
      <c r="AE30" s="6"/>
      <c r="AF30" s="23"/>
      <c r="AG30" s="6"/>
      <c r="AH30" s="5" t="s">
        <v>3</v>
      </c>
      <c r="AI30" s="5" t="s">
        <v>3841</v>
      </c>
      <c r="AJ30" s="5" t="s">
        <v>3533</v>
      </c>
      <c r="AK30" s="16" t="s">
        <v>3</v>
      </c>
      <c r="AL30" s="65" t="s">
        <v>1987</v>
      </c>
      <c r="AM30" s="31" t="s">
        <v>2217</v>
      </c>
    </row>
    <row r="31" spans="2:39" x14ac:dyDescent="0.25">
      <c r="B31" s="7" t="s">
        <v>2713</v>
      </c>
      <c r="C31" s="1" t="s">
        <v>2713</v>
      </c>
      <c r="D31" s="8" t="s">
        <v>2713</v>
      </c>
      <c r="E31" s="1" t="s">
        <v>2713</v>
      </c>
      <c r="F31" s="1" t="s">
        <v>2713</v>
      </c>
      <c r="G31" s="1" t="s">
        <v>2713</v>
      </c>
      <c r="H31" s="1" t="s">
        <v>2713</v>
      </c>
      <c r="I31" s="1" t="s">
        <v>2713</v>
      </c>
      <c r="J31" s="1" t="s">
        <v>2713</v>
      </c>
      <c r="K31" s="1" t="s">
        <v>2713</v>
      </c>
      <c r="L31" s="1" t="s">
        <v>2713</v>
      </c>
      <c r="M31" s="1" t="s">
        <v>2713</v>
      </c>
      <c r="N31" s="1" t="s">
        <v>2713</v>
      </c>
      <c r="O31" s="1" t="s">
        <v>2713</v>
      </c>
      <c r="P31" s="1" t="s">
        <v>2713</v>
      </c>
      <c r="Q31" s="1" t="s">
        <v>2713</v>
      </c>
      <c r="R31" s="1" t="s">
        <v>2713</v>
      </c>
      <c r="S31" s="1" t="s">
        <v>2713</v>
      </c>
      <c r="T31" s="1" t="s">
        <v>2713</v>
      </c>
      <c r="U31" s="1" t="s">
        <v>2713</v>
      </c>
      <c r="V31" s="1" t="s">
        <v>2713</v>
      </c>
      <c r="W31" s="1" t="s">
        <v>2713</v>
      </c>
      <c r="X31" s="1" t="s">
        <v>2713</v>
      </c>
      <c r="Y31" s="1" t="s">
        <v>2713</v>
      </c>
      <c r="Z31" s="1" t="s">
        <v>2713</v>
      </c>
      <c r="AA31" s="1" t="s">
        <v>2713</v>
      </c>
      <c r="AB31" s="1" t="s">
        <v>2713</v>
      </c>
      <c r="AC31" s="1" t="s">
        <v>2713</v>
      </c>
      <c r="AD31" s="1" t="s">
        <v>2713</v>
      </c>
      <c r="AE31" s="1" t="s">
        <v>2713</v>
      </c>
      <c r="AF31" s="1" t="s">
        <v>2713</v>
      </c>
      <c r="AG31" s="1" t="s">
        <v>2713</v>
      </c>
      <c r="AH31" s="1" t="s">
        <v>2713</v>
      </c>
      <c r="AI31" s="1" t="s">
        <v>2713</v>
      </c>
      <c r="AJ31" s="1" t="s">
        <v>2713</v>
      </c>
      <c r="AK31" s="1" t="s">
        <v>2713</v>
      </c>
      <c r="AL31" s="1" t="s">
        <v>2713</v>
      </c>
      <c r="AM31" s="1" t="s">
        <v>2713</v>
      </c>
    </row>
    <row r="32" spans="2:39" ht="41.4" x14ac:dyDescent="0.25">
      <c r="B32" s="21" t="s">
        <v>3314</v>
      </c>
      <c r="C32" s="19" t="s">
        <v>4204</v>
      </c>
      <c r="D32" s="17"/>
      <c r="E32" s="2"/>
      <c r="F32" s="2"/>
      <c r="G32" s="2"/>
      <c r="H32" s="2"/>
      <c r="I32" s="2"/>
      <c r="J32" s="2"/>
      <c r="K32" s="3">
        <f>SUM('GMIC_2020-Annu_SCDPT1'!SCDPT1_01BEGIN_7:'GMIC_2020-Annu_SCDPT1'!SCDPT1_01ENDIN_7)</f>
        <v>94723072</v>
      </c>
      <c r="L32" s="2"/>
      <c r="M32" s="3">
        <f>SUM('GMIC_2020-Annu_SCDPT1'!SCDPT1_01BEGIN_9:'GMIC_2020-Annu_SCDPT1'!SCDPT1_01ENDIN_9)</f>
        <v>96910201</v>
      </c>
      <c r="N32" s="3">
        <f>SUM('GMIC_2020-Annu_SCDPT1'!SCDPT1_01BEGIN_10:'GMIC_2020-Annu_SCDPT1'!SCDPT1_01ENDIN_10)</f>
        <v>94732000</v>
      </c>
      <c r="O32" s="3">
        <f>SUM('GMIC_2020-Annu_SCDPT1'!SCDPT1_01BEGIN_11:'GMIC_2020-Annu_SCDPT1'!SCDPT1_01ENDIN_11)</f>
        <v>94725901</v>
      </c>
      <c r="P32" s="3">
        <f>SUM('GMIC_2020-Annu_SCDPT1'!SCDPT1_01BEGIN_12:'GMIC_2020-Annu_SCDPT1'!SCDPT1_01ENDIN_12)</f>
        <v>0</v>
      </c>
      <c r="Q32" s="3">
        <f>SUM('GMIC_2020-Annu_SCDPT1'!SCDPT1_01BEGIN_13:'GMIC_2020-Annu_SCDPT1'!SCDPT1_01ENDIN_13)</f>
        <v>4749</v>
      </c>
      <c r="R32" s="3">
        <f>SUM('GMIC_2020-Annu_SCDPT1'!SCDPT1_01BEGIN_14:'GMIC_2020-Annu_SCDPT1'!SCDPT1_01ENDIN_14)</f>
        <v>0</v>
      </c>
      <c r="S32" s="3">
        <f>SUM('GMIC_2020-Annu_SCDPT1'!SCDPT1_01BEGIN_15:'GMIC_2020-Annu_SCDPT1'!SCDPT1_01ENDIN_15)</f>
        <v>0</v>
      </c>
      <c r="T32" s="2"/>
      <c r="U32" s="2"/>
      <c r="V32" s="2"/>
      <c r="W32" s="3">
        <f>SUM('GMIC_2020-Annu_SCDPT1'!SCDPT1_01BEGIN_19:'GMIC_2020-Annu_SCDPT1'!SCDPT1_01ENDIN_19)</f>
        <v>193975</v>
      </c>
      <c r="X32" s="3">
        <f>SUM('GMIC_2020-Annu_SCDPT1'!SCDPT1_01BEGIN_20:'GMIC_2020-Annu_SCDPT1'!SCDPT1_01ENDIN_20)</f>
        <v>961598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2:39" x14ac:dyDescent="0.25">
      <c r="B33" s="7" t="s">
        <v>2713</v>
      </c>
      <c r="C33" s="1" t="s">
        <v>2713</v>
      </c>
      <c r="D33" s="8" t="s">
        <v>2713</v>
      </c>
      <c r="E33" s="1" t="s">
        <v>2713</v>
      </c>
      <c r="F33" s="1" t="s">
        <v>2713</v>
      </c>
      <c r="G33" s="1" t="s">
        <v>2713</v>
      </c>
      <c r="H33" s="1" t="s">
        <v>2713</v>
      </c>
      <c r="I33" s="1" t="s">
        <v>2713</v>
      </c>
      <c r="J33" s="1" t="s">
        <v>2713</v>
      </c>
      <c r="K33" s="1" t="s">
        <v>2713</v>
      </c>
      <c r="L33" s="1" t="s">
        <v>2713</v>
      </c>
      <c r="M33" s="1" t="s">
        <v>2713</v>
      </c>
      <c r="N33" s="1" t="s">
        <v>2713</v>
      </c>
      <c r="O33" s="1" t="s">
        <v>2713</v>
      </c>
      <c r="P33" s="1" t="s">
        <v>2713</v>
      </c>
      <c r="Q33" s="1" t="s">
        <v>2713</v>
      </c>
      <c r="R33" s="1" t="s">
        <v>2713</v>
      </c>
      <c r="S33" s="1" t="s">
        <v>2713</v>
      </c>
      <c r="T33" s="1" t="s">
        <v>2713</v>
      </c>
      <c r="U33" s="1" t="s">
        <v>2713</v>
      </c>
      <c r="V33" s="1" t="s">
        <v>2713</v>
      </c>
      <c r="W33" s="1" t="s">
        <v>2713</v>
      </c>
      <c r="X33" s="1" t="s">
        <v>2713</v>
      </c>
      <c r="Y33" s="15" t="s">
        <v>2713</v>
      </c>
      <c r="Z33" s="15" t="s">
        <v>2713</v>
      </c>
      <c r="AA33" s="1" t="s">
        <v>2713</v>
      </c>
      <c r="AB33" s="1" t="s">
        <v>2713</v>
      </c>
      <c r="AC33" s="1" t="s">
        <v>2713</v>
      </c>
      <c r="AD33" s="1" t="s">
        <v>2713</v>
      </c>
      <c r="AE33" s="1" t="s">
        <v>2713</v>
      </c>
      <c r="AF33" s="1" t="s">
        <v>2713</v>
      </c>
      <c r="AG33" s="1" t="s">
        <v>2713</v>
      </c>
      <c r="AH33" s="1" t="s">
        <v>2713</v>
      </c>
      <c r="AI33" s="1" t="s">
        <v>2713</v>
      </c>
      <c r="AJ33" s="1" t="s">
        <v>2713</v>
      </c>
      <c r="AK33" s="1" t="s">
        <v>2713</v>
      </c>
      <c r="AL33" s="1" t="s">
        <v>2713</v>
      </c>
      <c r="AM33" s="1" t="s">
        <v>2713</v>
      </c>
    </row>
    <row r="34" spans="2:39" x14ac:dyDescent="0.25">
      <c r="B34" s="18" t="s">
        <v>1154</v>
      </c>
      <c r="C34" s="25" t="s">
        <v>3846</v>
      </c>
      <c r="D34" s="20" t="s">
        <v>3</v>
      </c>
      <c r="E34" s="38" t="s">
        <v>3</v>
      </c>
      <c r="F34" s="22" t="s">
        <v>3</v>
      </c>
      <c r="G34" s="37" t="s">
        <v>3</v>
      </c>
      <c r="H34" s="33" t="s">
        <v>3</v>
      </c>
      <c r="I34" s="34" t="s">
        <v>3</v>
      </c>
      <c r="J34" s="36" t="s">
        <v>3</v>
      </c>
      <c r="K34" s="4"/>
      <c r="L34" s="39"/>
      <c r="M34" s="4"/>
      <c r="N34" s="4"/>
      <c r="O34" s="4"/>
      <c r="P34" s="4"/>
      <c r="Q34" s="4"/>
      <c r="R34" s="4"/>
      <c r="S34" s="4"/>
      <c r="T34" s="23"/>
      <c r="U34" s="23"/>
      <c r="V34" s="5" t="s">
        <v>3</v>
      </c>
      <c r="W34" s="4"/>
      <c r="X34" s="4"/>
      <c r="Y34" s="9"/>
      <c r="Z34" s="9"/>
      <c r="AA34" s="2"/>
      <c r="AB34" s="29" t="s">
        <v>3</v>
      </c>
      <c r="AC34" s="5" t="s">
        <v>3</v>
      </c>
      <c r="AD34" s="2"/>
      <c r="AE34" s="6"/>
      <c r="AF34" s="23"/>
      <c r="AG34" s="6"/>
      <c r="AH34" s="5" t="s">
        <v>3</v>
      </c>
      <c r="AI34" s="5" t="s">
        <v>3</v>
      </c>
      <c r="AJ34" s="5" t="s">
        <v>3</v>
      </c>
      <c r="AK34" s="16" t="s">
        <v>3</v>
      </c>
      <c r="AL34" s="40" t="s">
        <v>3</v>
      </c>
      <c r="AM34" s="31" t="s">
        <v>3</v>
      </c>
    </row>
    <row r="35" spans="2:39" x14ac:dyDescent="0.25">
      <c r="B35" s="7" t="s">
        <v>2713</v>
      </c>
      <c r="C35" s="1" t="s">
        <v>2713</v>
      </c>
      <c r="D35" s="8" t="s">
        <v>2713</v>
      </c>
      <c r="E35" s="1" t="s">
        <v>2713</v>
      </c>
      <c r="F35" s="1" t="s">
        <v>2713</v>
      </c>
      <c r="G35" s="1" t="s">
        <v>2713</v>
      </c>
      <c r="H35" s="1" t="s">
        <v>2713</v>
      </c>
      <c r="I35" s="1" t="s">
        <v>2713</v>
      </c>
      <c r="J35" s="1" t="s">
        <v>2713</v>
      </c>
      <c r="K35" s="1" t="s">
        <v>2713</v>
      </c>
      <c r="L35" s="1" t="s">
        <v>2713</v>
      </c>
      <c r="M35" s="1" t="s">
        <v>2713</v>
      </c>
      <c r="N35" s="1" t="s">
        <v>2713</v>
      </c>
      <c r="O35" s="1" t="s">
        <v>2713</v>
      </c>
      <c r="P35" s="1" t="s">
        <v>2713</v>
      </c>
      <c r="Q35" s="1" t="s">
        <v>2713</v>
      </c>
      <c r="R35" s="1" t="s">
        <v>2713</v>
      </c>
      <c r="S35" s="1" t="s">
        <v>2713</v>
      </c>
      <c r="T35" s="1" t="s">
        <v>2713</v>
      </c>
      <c r="U35" s="1" t="s">
        <v>2713</v>
      </c>
      <c r="V35" s="1" t="s">
        <v>2713</v>
      </c>
      <c r="W35" s="1" t="s">
        <v>2713</v>
      </c>
      <c r="X35" s="1" t="s">
        <v>2713</v>
      </c>
      <c r="Y35" s="1" t="s">
        <v>2713</v>
      </c>
      <c r="Z35" s="1" t="s">
        <v>2713</v>
      </c>
      <c r="AA35" s="1" t="s">
        <v>2713</v>
      </c>
      <c r="AB35" s="1" t="s">
        <v>2713</v>
      </c>
      <c r="AC35" s="1" t="s">
        <v>2713</v>
      </c>
      <c r="AD35" s="1" t="s">
        <v>2713</v>
      </c>
      <c r="AE35" s="1" t="s">
        <v>2713</v>
      </c>
      <c r="AF35" s="1" t="s">
        <v>2713</v>
      </c>
      <c r="AG35" s="1" t="s">
        <v>2713</v>
      </c>
      <c r="AH35" s="1" t="s">
        <v>2713</v>
      </c>
      <c r="AI35" s="1" t="s">
        <v>2713</v>
      </c>
      <c r="AJ35" s="1" t="s">
        <v>2713</v>
      </c>
      <c r="AK35" s="1" t="s">
        <v>2713</v>
      </c>
      <c r="AL35" s="1" t="s">
        <v>2713</v>
      </c>
      <c r="AM35" s="1" t="s">
        <v>2713</v>
      </c>
    </row>
    <row r="36" spans="2:39" ht="41.4" x14ac:dyDescent="0.25">
      <c r="B36" s="21" t="s">
        <v>2439</v>
      </c>
      <c r="C36" s="19" t="s">
        <v>895</v>
      </c>
      <c r="D36" s="17"/>
      <c r="E36" s="2"/>
      <c r="F36" s="2"/>
      <c r="G36" s="2"/>
      <c r="H36" s="2"/>
      <c r="I36" s="2"/>
      <c r="J36" s="2"/>
      <c r="K36" s="3">
        <f>SUM('GMIC_2020-Annu_SCDPT1'!SCDPT1_02BEGIN_7:'GMIC_2020-Annu_SCDPT1'!SCDPT1_02ENDIN_7)</f>
        <v>0</v>
      </c>
      <c r="L36" s="2"/>
      <c r="M36" s="3">
        <f>SUM('GMIC_2020-Annu_SCDPT1'!SCDPT1_02BEGIN_9:'GMIC_2020-Annu_SCDPT1'!SCDPT1_02ENDIN_9)</f>
        <v>0</v>
      </c>
      <c r="N36" s="3">
        <f>SUM('GMIC_2020-Annu_SCDPT1'!SCDPT1_02BEGIN_10:'GMIC_2020-Annu_SCDPT1'!SCDPT1_02ENDIN_10)</f>
        <v>0</v>
      </c>
      <c r="O36" s="3">
        <f>SUM('GMIC_2020-Annu_SCDPT1'!SCDPT1_02BEGIN_11:'GMIC_2020-Annu_SCDPT1'!SCDPT1_02ENDIN_11)</f>
        <v>0</v>
      </c>
      <c r="P36" s="3">
        <f>SUM('GMIC_2020-Annu_SCDPT1'!SCDPT1_02BEGIN_12:'GMIC_2020-Annu_SCDPT1'!SCDPT1_02ENDIN_12)</f>
        <v>0</v>
      </c>
      <c r="Q36" s="3">
        <f>SUM('GMIC_2020-Annu_SCDPT1'!SCDPT1_02BEGIN_13:'GMIC_2020-Annu_SCDPT1'!SCDPT1_02ENDIN_13)</f>
        <v>0</v>
      </c>
      <c r="R36" s="3">
        <f>SUM('GMIC_2020-Annu_SCDPT1'!SCDPT1_02BEGIN_14:'GMIC_2020-Annu_SCDPT1'!SCDPT1_02ENDIN_14)</f>
        <v>0</v>
      </c>
      <c r="S36" s="3">
        <f>SUM('GMIC_2020-Annu_SCDPT1'!SCDPT1_02BEGIN_15:'GMIC_2020-Annu_SCDPT1'!SCDPT1_02ENDIN_15)</f>
        <v>0</v>
      </c>
      <c r="T36" s="2"/>
      <c r="U36" s="2"/>
      <c r="V36" s="2"/>
      <c r="W36" s="3">
        <f>SUM('GMIC_2020-Annu_SCDPT1'!SCDPT1_02BEGIN_19:'GMIC_2020-Annu_SCDPT1'!SCDPT1_02ENDIN_19)</f>
        <v>0</v>
      </c>
      <c r="X36" s="3">
        <f>SUM('GMIC_2020-Annu_SCDPT1'!SCDPT1_02BEGIN_20:'GMIC_2020-Annu_SCDPT1'!SCDPT1_02ENDIN_20)</f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2:39" x14ac:dyDescent="0.25">
      <c r="B37" s="7" t="s">
        <v>2713</v>
      </c>
      <c r="C37" s="1" t="s">
        <v>2713</v>
      </c>
      <c r="D37" s="8" t="s">
        <v>2713</v>
      </c>
      <c r="E37" s="1" t="s">
        <v>2713</v>
      </c>
      <c r="F37" s="1" t="s">
        <v>2713</v>
      </c>
      <c r="G37" s="1" t="s">
        <v>2713</v>
      </c>
      <c r="H37" s="1" t="s">
        <v>2713</v>
      </c>
      <c r="I37" s="1" t="s">
        <v>2713</v>
      </c>
      <c r="J37" s="1" t="s">
        <v>2713</v>
      </c>
      <c r="K37" s="1" t="s">
        <v>2713</v>
      </c>
      <c r="L37" s="1" t="s">
        <v>2713</v>
      </c>
      <c r="M37" s="1" t="s">
        <v>2713</v>
      </c>
      <c r="N37" s="1" t="s">
        <v>2713</v>
      </c>
      <c r="O37" s="1" t="s">
        <v>2713</v>
      </c>
      <c r="P37" s="1" t="s">
        <v>2713</v>
      </c>
      <c r="Q37" s="1" t="s">
        <v>2713</v>
      </c>
      <c r="R37" s="1" t="s">
        <v>2713</v>
      </c>
      <c r="S37" s="1" t="s">
        <v>2713</v>
      </c>
      <c r="T37" s="1" t="s">
        <v>2713</v>
      </c>
      <c r="U37" s="1" t="s">
        <v>2713</v>
      </c>
      <c r="V37" s="1" t="s">
        <v>2713</v>
      </c>
      <c r="W37" s="1" t="s">
        <v>2713</v>
      </c>
      <c r="X37" s="1" t="s">
        <v>2713</v>
      </c>
      <c r="Y37" s="1" t="s">
        <v>2713</v>
      </c>
      <c r="Z37" s="1" t="s">
        <v>2713</v>
      </c>
      <c r="AA37" s="1" t="s">
        <v>2713</v>
      </c>
      <c r="AB37" s="1" t="s">
        <v>2713</v>
      </c>
      <c r="AC37" s="1" t="s">
        <v>2713</v>
      </c>
      <c r="AD37" s="1" t="s">
        <v>2713</v>
      </c>
      <c r="AE37" s="1" t="s">
        <v>2713</v>
      </c>
      <c r="AF37" s="1" t="s">
        <v>2713</v>
      </c>
      <c r="AG37" s="1" t="s">
        <v>2713</v>
      </c>
      <c r="AH37" s="1" t="s">
        <v>2713</v>
      </c>
      <c r="AI37" s="1" t="s">
        <v>2713</v>
      </c>
      <c r="AJ37" s="1" t="s">
        <v>2713</v>
      </c>
      <c r="AK37" s="1" t="s">
        <v>2713</v>
      </c>
      <c r="AL37" s="1" t="s">
        <v>2713</v>
      </c>
      <c r="AM37" s="1" t="s">
        <v>2713</v>
      </c>
    </row>
    <row r="38" spans="2:39" x14ac:dyDescent="0.25">
      <c r="B38" s="18" t="s">
        <v>251</v>
      </c>
      <c r="C38" s="25" t="s">
        <v>3846</v>
      </c>
      <c r="D38" s="20" t="s">
        <v>3</v>
      </c>
      <c r="E38" s="38" t="s">
        <v>3</v>
      </c>
      <c r="F38" s="22" t="s">
        <v>3</v>
      </c>
      <c r="G38" s="37" t="s">
        <v>3</v>
      </c>
      <c r="H38" s="33" t="s">
        <v>3</v>
      </c>
      <c r="I38" s="34" t="s">
        <v>3</v>
      </c>
      <c r="J38" s="36" t="s">
        <v>3</v>
      </c>
      <c r="K38" s="4"/>
      <c r="L38" s="39"/>
      <c r="M38" s="4"/>
      <c r="N38" s="4"/>
      <c r="O38" s="4"/>
      <c r="P38" s="4"/>
      <c r="Q38" s="4"/>
      <c r="R38" s="4"/>
      <c r="S38" s="4"/>
      <c r="T38" s="23"/>
      <c r="U38" s="23"/>
      <c r="V38" s="5" t="s">
        <v>3</v>
      </c>
      <c r="W38" s="4"/>
      <c r="X38" s="4"/>
      <c r="Y38" s="6"/>
      <c r="Z38" s="6"/>
      <c r="AA38" s="2"/>
      <c r="AB38" s="29" t="s">
        <v>3</v>
      </c>
      <c r="AC38" s="5" t="s">
        <v>3</v>
      </c>
      <c r="AD38" s="2"/>
      <c r="AE38" s="6"/>
      <c r="AF38" s="23"/>
      <c r="AG38" s="6"/>
      <c r="AH38" s="5" t="s">
        <v>3</v>
      </c>
      <c r="AI38" s="5" t="s">
        <v>3</v>
      </c>
      <c r="AJ38" s="5" t="s">
        <v>3</v>
      </c>
      <c r="AK38" s="16" t="s">
        <v>3</v>
      </c>
      <c r="AL38" s="40" t="s">
        <v>3</v>
      </c>
      <c r="AM38" s="31" t="s">
        <v>3</v>
      </c>
    </row>
    <row r="39" spans="2:39" x14ac:dyDescent="0.25">
      <c r="B39" s="7" t="s">
        <v>2713</v>
      </c>
      <c r="C39" s="1" t="s">
        <v>2713</v>
      </c>
      <c r="D39" s="8" t="s">
        <v>2713</v>
      </c>
      <c r="E39" s="1" t="s">
        <v>2713</v>
      </c>
      <c r="F39" s="1" t="s">
        <v>2713</v>
      </c>
      <c r="G39" s="1" t="s">
        <v>2713</v>
      </c>
      <c r="H39" s="1" t="s">
        <v>2713</v>
      </c>
      <c r="I39" s="1" t="s">
        <v>2713</v>
      </c>
      <c r="J39" s="1" t="s">
        <v>2713</v>
      </c>
      <c r="K39" s="1" t="s">
        <v>2713</v>
      </c>
      <c r="L39" s="1" t="s">
        <v>2713</v>
      </c>
      <c r="M39" s="1" t="s">
        <v>2713</v>
      </c>
      <c r="N39" s="1" t="s">
        <v>2713</v>
      </c>
      <c r="O39" s="1" t="s">
        <v>2713</v>
      </c>
      <c r="P39" s="1" t="s">
        <v>2713</v>
      </c>
      <c r="Q39" s="1" t="s">
        <v>2713</v>
      </c>
      <c r="R39" s="1" t="s">
        <v>2713</v>
      </c>
      <c r="S39" s="1" t="s">
        <v>2713</v>
      </c>
      <c r="T39" s="1" t="s">
        <v>2713</v>
      </c>
      <c r="U39" s="1" t="s">
        <v>2713</v>
      </c>
      <c r="V39" s="1" t="s">
        <v>2713</v>
      </c>
      <c r="W39" s="1" t="s">
        <v>2713</v>
      </c>
      <c r="X39" s="1" t="s">
        <v>2713</v>
      </c>
      <c r="Y39" s="1" t="s">
        <v>2713</v>
      </c>
      <c r="Z39" s="1" t="s">
        <v>2713</v>
      </c>
      <c r="AA39" s="1" t="s">
        <v>2713</v>
      </c>
      <c r="AB39" s="1" t="s">
        <v>2713</v>
      </c>
      <c r="AC39" s="1" t="s">
        <v>2713</v>
      </c>
      <c r="AD39" s="1" t="s">
        <v>2713</v>
      </c>
      <c r="AE39" s="1" t="s">
        <v>2713</v>
      </c>
      <c r="AF39" s="1" t="s">
        <v>2713</v>
      </c>
      <c r="AG39" s="1" t="s">
        <v>2713</v>
      </c>
      <c r="AH39" s="1" t="s">
        <v>2713</v>
      </c>
      <c r="AI39" s="1" t="s">
        <v>2713</v>
      </c>
      <c r="AJ39" s="1" t="s">
        <v>2713</v>
      </c>
      <c r="AK39" s="1" t="s">
        <v>2713</v>
      </c>
      <c r="AL39" s="1" t="s">
        <v>2713</v>
      </c>
      <c r="AM39" s="1" t="s">
        <v>2713</v>
      </c>
    </row>
    <row r="40" spans="2:39" ht="41.4" x14ac:dyDescent="0.25">
      <c r="B40" s="21" t="s">
        <v>1630</v>
      </c>
      <c r="C40" s="19" t="s">
        <v>1155</v>
      </c>
      <c r="D40" s="17"/>
      <c r="E40" s="2"/>
      <c r="F40" s="2"/>
      <c r="G40" s="2"/>
      <c r="H40" s="2"/>
      <c r="I40" s="2"/>
      <c r="J40" s="2"/>
      <c r="K40" s="3">
        <f>SUM('GMIC_2020-Annu_SCDPT1'!SCDPT1_03BEGIN_7:'GMIC_2020-Annu_SCDPT1'!SCDPT1_03ENDIN_7)</f>
        <v>0</v>
      </c>
      <c r="L40" s="2"/>
      <c r="M40" s="3">
        <f>SUM('GMIC_2020-Annu_SCDPT1'!SCDPT1_03BEGIN_9:'GMIC_2020-Annu_SCDPT1'!SCDPT1_03ENDIN_9)</f>
        <v>0</v>
      </c>
      <c r="N40" s="3">
        <f>SUM('GMIC_2020-Annu_SCDPT1'!SCDPT1_03BEGIN_10:'GMIC_2020-Annu_SCDPT1'!SCDPT1_03ENDIN_10)</f>
        <v>0</v>
      </c>
      <c r="O40" s="3">
        <f>SUM('GMIC_2020-Annu_SCDPT1'!SCDPT1_03BEGIN_11:'GMIC_2020-Annu_SCDPT1'!SCDPT1_03ENDIN_11)</f>
        <v>0</v>
      </c>
      <c r="P40" s="3">
        <f>SUM('GMIC_2020-Annu_SCDPT1'!SCDPT1_03BEGIN_12:'GMIC_2020-Annu_SCDPT1'!SCDPT1_03ENDIN_12)</f>
        <v>0</v>
      </c>
      <c r="Q40" s="3">
        <f>SUM('GMIC_2020-Annu_SCDPT1'!SCDPT1_03BEGIN_13:'GMIC_2020-Annu_SCDPT1'!SCDPT1_03ENDIN_13)</f>
        <v>0</v>
      </c>
      <c r="R40" s="3">
        <f>SUM('GMIC_2020-Annu_SCDPT1'!SCDPT1_03BEGIN_14:'GMIC_2020-Annu_SCDPT1'!SCDPT1_03ENDIN_14)</f>
        <v>0</v>
      </c>
      <c r="S40" s="3">
        <f>SUM('GMIC_2020-Annu_SCDPT1'!SCDPT1_03BEGIN_15:'GMIC_2020-Annu_SCDPT1'!SCDPT1_03ENDIN_15)</f>
        <v>0</v>
      </c>
      <c r="T40" s="2"/>
      <c r="U40" s="2"/>
      <c r="V40" s="2"/>
      <c r="W40" s="3">
        <f>SUM('GMIC_2020-Annu_SCDPT1'!SCDPT1_03BEGIN_19:'GMIC_2020-Annu_SCDPT1'!SCDPT1_03ENDIN_19)</f>
        <v>0</v>
      </c>
      <c r="X40" s="3">
        <f>SUM('GMIC_2020-Annu_SCDPT1'!SCDPT1_03BEGIN_20:'GMIC_2020-Annu_SCDPT1'!SCDPT1_03ENDIN_20)</f>
        <v>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x14ac:dyDescent="0.25">
      <c r="B41" s="7" t="s">
        <v>2713</v>
      </c>
      <c r="C41" s="1" t="s">
        <v>2713</v>
      </c>
      <c r="D41" s="8" t="s">
        <v>2713</v>
      </c>
      <c r="E41" s="1" t="s">
        <v>2713</v>
      </c>
      <c r="F41" s="1" t="s">
        <v>2713</v>
      </c>
      <c r="G41" s="1" t="s">
        <v>2713</v>
      </c>
      <c r="H41" s="1" t="s">
        <v>2713</v>
      </c>
      <c r="I41" s="1" t="s">
        <v>2713</v>
      </c>
      <c r="J41" s="1" t="s">
        <v>2713</v>
      </c>
      <c r="K41" s="1" t="s">
        <v>2713</v>
      </c>
      <c r="L41" s="1" t="s">
        <v>2713</v>
      </c>
      <c r="M41" s="1" t="s">
        <v>2713</v>
      </c>
      <c r="N41" s="1" t="s">
        <v>2713</v>
      </c>
      <c r="O41" s="1" t="s">
        <v>2713</v>
      </c>
      <c r="P41" s="1" t="s">
        <v>2713</v>
      </c>
      <c r="Q41" s="1" t="s">
        <v>2713</v>
      </c>
      <c r="R41" s="1" t="s">
        <v>2713</v>
      </c>
      <c r="S41" s="1" t="s">
        <v>2713</v>
      </c>
      <c r="T41" s="1" t="s">
        <v>2713</v>
      </c>
      <c r="U41" s="1" t="s">
        <v>2713</v>
      </c>
      <c r="V41" s="1" t="s">
        <v>2713</v>
      </c>
      <c r="W41" s="1" t="s">
        <v>2713</v>
      </c>
      <c r="X41" s="1" t="s">
        <v>2713</v>
      </c>
      <c r="Y41" s="1" t="s">
        <v>2713</v>
      </c>
      <c r="Z41" s="1" t="s">
        <v>2713</v>
      </c>
      <c r="AA41" s="1" t="s">
        <v>2713</v>
      </c>
      <c r="AB41" s="1" t="s">
        <v>2713</v>
      </c>
      <c r="AC41" s="1" t="s">
        <v>2713</v>
      </c>
      <c r="AD41" s="1" t="s">
        <v>2713</v>
      </c>
      <c r="AE41" s="1" t="s">
        <v>2713</v>
      </c>
      <c r="AF41" s="1" t="s">
        <v>2713</v>
      </c>
      <c r="AG41" s="1" t="s">
        <v>2713</v>
      </c>
      <c r="AH41" s="1" t="s">
        <v>2713</v>
      </c>
      <c r="AI41" s="1" t="s">
        <v>2713</v>
      </c>
      <c r="AJ41" s="1" t="s">
        <v>2713</v>
      </c>
      <c r="AK41" s="1" t="s">
        <v>2713</v>
      </c>
      <c r="AL41" s="1" t="s">
        <v>2713</v>
      </c>
      <c r="AM41" s="1" t="s">
        <v>2713</v>
      </c>
    </row>
    <row r="42" spans="2:39" x14ac:dyDescent="0.25">
      <c r="B42" s="18" t="s">
        <v>3847</v>
      </c>
      <c r="C42" s="25" t="s">
        <v>3846</v>
      </c>
      <c r="D42" s="20" t="s">
        <v>3</v>
      </c>
      <c r="E42" s="38" t="s">
        <v>3</v>
      </c>
      <c r="F42" s="22" t="s">
        <v>3</v>
      </c>
      <c r="G42" s="37" t="s">
        <v>3</v>
      </c>
      <c r="H42" s="33" t="s">
        <v>3</v>
      </c>
      <c r="I42" s="34" t="s">
        <v>3</v>
      </c>
      <c r="J42" s="36" t="s">
        <v>3</v>
      </c>
      <c r="K42" s="4"/>
      <c r="L42" s="39"/>
      <c r="M42" s="4"/>
      <c r="N42" s="4"/>
      <c r="O42" s="4"/>
      <c r="P42" s="4"/>
      <c r="Q42" s="4"/>
      <c r="R42" s="4"/>
      <c r="S42" s="4"/>
      <c r="T42" s="23"/>
      <c r="U42" s="23"/>
      <c r="V42" s="5" t="s">
        <v>3</v>
      </c>
      <c r="W42" s="4"/>
      <c r="X42" s="4"/>
      <c r="Y42" s="6"/>
      <c r="Z42" s="6"/>
      <c r="AA42" s="2"/>
      <c r="AB42" s="29" t="s">
        <v>3</v>
      </c>
      <c r="AC42" s="5" t="s">
        <v>3</v>
      </c>
      <c r="AD42" s="2"/>
      <c r="AE42" s="6"/>
      <c r="AF42" s="23"/>
      <c r="AG42" s="6"/>
      <c r="AH42" s="5" t="s">
        <v>3</v>
      </c>
      <c r="AI42" s="5" t="s">
        <v>3</v>
      </c>
      <c r="AJ42" s="5" t="s">
        <v>3</v>
      </c>
      <c r="AK42" s="16" t="s">
        <v>3</v>
      </c>
      <c r="AL42" s="40" t="s">
        <v>3</v>
      </c>
      <c r="AM42" s="31" t="s">
        <v>3</v>
      </c>
    </row>
    <row r="43" spans="2:39" x14ac:dyDescent="0.25">
      <c r="B43" s="7" t="s">
        <v>2713</v>
      </c>
      <c r="C43" s="1" t="s">
        <v>2713</v>
      </c>
      <c r="D43" s="8" t="s">
        <v>2713</v>
      </c>
      <c r="E43" s="1" t="s">
        <v>2713</v>
      </c>
      <c r="F43" s="1" t="s">
        <v>2713</v>
      </c>
      <c r="G43" s="1" t="s">
        <v>2713</v>
      </c>
      <c r="H43" s="1" t="s">
        <v>2713</v>
      </c>
      <c r="I43" s="1" t="s">
        <v>2713</v>
      </c>
      <c r="J43" s="1" t="s">
        <v>2713</v>
      </c>
      <c r="K43" s="1" t="s">
        <v>2713</v>
      </c>
      <c r="L43" s="1" t="s">
        <v>2713</v>
      </c>
      <c r="M43" s="1" t="s">
        <v>2713</v>
      </c>
      <c r="N43" s="1" t="s">
        <v>2713</v>
      </c>
      <c r="O43" s="1" t="s">
        <v>2713</v>
      </c>
      <c r="P43" s="1" t="s">
        <v>2713</v>
      </c>
      <c r="Q43" s="1" t="s">
        <v>2713</v>
      </c>
      <c r="R43" s="1" t="s">
        <v>2713</v>
      </c>
      <c r="S43" s="1" t="s">
        <v>2713</v>
      </c>
      <c r="T43" s="1" t="s">
        <v>2713</v>
      </c>
      <c r="U43" s="1" t="s">
        <v>2713</v>
      </c>
      <c r="V43" s="1" t="s">
        <v>2713</v>
      </c>
      <c r="W43" s="1" t="s">
        <v>2713</v>
      </c>
      <c r="X43" s="1" t="s">
        <v>2713</v>
      </c>
      <c r="Y43" s="15" t="s">
        <v>2713</v>
      </c>
      <c r="Z43" s="15" t="s">
        <v>2713</v>
      </c>
      <c r="AA43" s="1" t="s">
        <v>2713</v>
      </c>
      <c r="AB43" s="1" t="s">
        <v>2713</v>
      </c>
      <c r="AC43" s="1" t="s">
        <v>2713</v>
      </c>
      <c r="AD43" s="1" t="s">
        <v>2713</v>
      </c>
      <c r="AE43" s="1" t="s">
        <v>2713</v>
      </c>
      <c r="AF43" s="1" t="s">
        <v>2713</v>
      </c>
      <c r="AG43" s="1" t="s">
        <v>2713</v>
      </c>
      <c r="AH43" s="1" t="s">
        <v>2713</v>
      </c>
      <c r="AI43" s="1" t="s">
        <v>2713</v>
      </c>
      <c r="AJ43" s="1" t="s">
        <v>2713</v>
      </c>
      <c r="AK43" s="1" t="s">
        <v>2713</v>
      </c>
      <c r="AL43" s="1" t="s">
        <v>2713</v>
      </c>
      <c r="AM43" s="1" t="s">
        <v>2713</v>
      </c>
    </row>
    <row r="44" spans="2:39" ht="55.2" x14ac:dyDescent="0.25">
      <c r="B44" s="21" t="s">
        <v>896</v>
      </c>
      <c r="C44" s="19" t="s">
        <v>1988</v>
      </c>
      <c r="D44" s="17"/>
      <c r="E44" s="2"/>
      <c r="F44" s="2"/>
      <c r="G44" s="2"/>
      <c r="H44" s="2"/>
      <c r="I44" s="2"/>
      <c r="J44" s="2"/>
      <c r="K44" s="3">
        <f>SUM('GMIC_2020-Annu_SCDPT1'!SCDPT1_04BEGIN_7:'GMIC_2020-Annu_SCDPT1'!SCDPT1_04ENDIN_7)</f>
        <v>0</v>
      </c>
      <c r="L44" s="2"/>
      <c r="M44" s="3">
        <f>SUM('GMIC_2020-Annu_SCDPT1'!SCDPT1_04BEGIN_9:'GMIC_2020-Annu_SCDPT1'!SCDPT1_04ENDIN_9)</f>
        <v>0</v>
      </c>
      <c r="N44" s="3">
        <f>SUM('GMIC_2020-Annu_SCDPT1'!SCDPT1_04BEGIN_10:'GMIC_2020-Annu_SCDPT1'!SCDPT1_04ENDIN_10)</f>
        <v>0</v>
      </c>
      <c r="O44" s="3">
        <f>SUM('GMIC_2020-Annu_SCDPT1'!SCDPT1_04BEGIN_11:'GMIC_2020-Annu_SCDPT1'!SCDPT1_04ENDIN_11)</f>
        <v>0</v>
      </c>
      <c r="P44" s="3">
        <f>SUM('GMIC_2020-Annu_SCDPT1'!SCDPT1_04BEGIN_12:'GMIC_2020-Annu_SCDPT1'!SCDPT1_04ENDIN_12)</f>
        <v>0</v>
      </c>
      <c r="Q44" s="3">
        <f>SUM('GMIC_2020-Annu_SCDPT1'!SCDPT1_04BEGIN_13:'GMIC_2020-Annu_SCDPT1'!SCDPT1_04ENDIN_13)</f>
        <v>0</v>
      </c>
      <c r="R44" s="3">
        <f>SUM('GMIC_2020-Annu_SCDPT1'!SCDPT1_04BEGIN_14:'GMIC_2020-Annu_SCDPT1'!SCDPT1_04ENDIN_14)</f>
        <v>0</v>
      </c>
      <c r="S44" s="3">
        <f>SUM('GMIC_2020-Annu_SCDPT1'!SCDPT1_04BEGIN_15:'GMIC_2020-Annu_SCDPT1'!SCDPT1_04ENDIN_15)</f>
        <v>0</v>
      </c>
      <c r="T44" s="2"/>
      <c r="U44" s="2"/>
      <c r="V44" s="2"/>
      <c r="W44" s="3">
        <f>SUM('GMIC_2020-Annu_SCDPT1'!SCDPT1_04BEGIN_19:'GMIC_2020-Annu_SCDPT1'!SCDPT1_04ENDIN_19)</f>
        <v>0</v>
      </c>
      <c r="X44" s="3">
        <f>SUM('GMIC_2020-Annu_SCDPT1'!SCDPT1_04BEGIN_20:'GMIC_2020-Annu_SCDPT1'!SCDPT1_04ENDIN_20)</f>
        <v>0</v>
      </c>
      <c r="Y44" s="27"/>
      <c r="Z44" s="27"/>
      <c r="AA44" s="2"/>
      <c r="AB44" s="2"/>
      <c r="AC44" s="2"/>
      <c r="AD44" s="2"/>
      <c r="AE44" s="27"/>
      <c r="AF44" s="2"/>
      <c r="AG44" s="2"/>
      <c r="AH44" s="2"/>
      <c r="AI44" s="2"/>
      <c r="AJ44" s="2"/>
      <c r="AK44" s="2"/>
      <c r="AL44" s="2"/>
      <c r="AM44" s="2"/>
    </row>
    <row r="45" spans="2:39" ht="27.6" x14ac:dyDescent="0.25">
      <c r="B45" s="21" t="s">
        <v>4</v>
      </c>
      <c r="C45" s="19" t="s">
        <v>1156</v>
      </c>
      <c r="D45" s="17"/>
      <c r="E45" s="2"/>
      <c r="F45" s="2"/>
      <c r="G45" s="2"/>
      <c r="H45" s="2"/>
      <c r="I45" s="2"/>
      <c r="J45" s="2"/>
      <c r="K45" s="3">
        <f>'GMIC_2020-Annu_SCDPT1'!SCDPT1_0199999_7+'GMIC_2020-Annu_SCDPT1'!SCDPT1_0299999_7+'GMIC_2020-Annu_SCDPT1'!SCDPT1_0399999_7+'GMIC_2020-Annu_SCDPT1'!SCDPT1_0499999_7</f>
        <v>94723072</v>
      </c>
      <c r="L45" s="2"/>
      <c r="M45" s="3">
        <f>'GMIC_2020-Annu_SCDPT1'!SCDPT1_0199999_9+'GMIC_2020-Annu_SCDPT1'!SCDPT1_0299999_9+'GMIC_2020-Annu_SCDPT1'!SCDPT1_0399999_9+'GMIC_2020-Annu_SCDPT1'!SCDPT1_0499999_9</f>
        <v>96910201</v>
      </c>
      <c r="N45" s="3">
        <f>'GMIC_2020-Annu_SCDPT1'!SCDPT1_0199999_10+'GMIC_2020-Annu_SCDPT1'!SCDPT1_0299999_10+'GMIC_2020-Annu_SCDPT1'!SCDPT1_0399999_10+'GMIC_2020-Annu_SCDPT1'!SCDPT1_0499999_10</f>
        <v>94732000</v>
      </c>
      <c r="O45" s="3">
        <f>'GMIC_2020-Annu_SCDPT1'!SCDPT1_0199999_11+'GMIC_2020-Annu_SCDPT1'!SCDPT1_0299999_11+'GMIC_2020-Annu_SCDPT1'!SCDPT1_0399999_11+'GMIC_2020-Annu_SCDPT1'!SCDPT1_0499999_11</f>
        <v>94725901</v>
      </c>
      <c r="P45" s="3">
        <f>'GMIC_2020-Annu_SCDPT1'!SCDPT1_0199999_12+'GMIC_2020-Annu_SCDPT1'!SCDPT1_0299999_12+'GMIC_2020-Annu_SCDPT1'!SCDPT1_0399999_12+'GMIC_2020-Annu_SCDPT1'!SCDPT1_0499999_12</f>
        <v>0</v>
      </c>
      <c r="Q45" s="3">
        <f>'GMIC_2020-Annu_SCDPT1'!SCDPT1_0199999_13+'GMIC_2020-Annu_SCDPT1'!SCDPT1_0299999_13+'GMIC_2020-Annu_SCDPT1'!SCDPT1_0399999_13+'GMIC_2020-Annu_SCDPT1'!SCDPT1_0499999_13</f>
        <v>4749</v>
      </c>
      <c r="R45" s="3">
        <f>'GMIC_2020-Annu_SCDPT1'!SCDPT1_0199999_14+'GMIC_2020-Annu_SCDPT1'!SCDPT1_0299999_14+'GMIC_2020-Annu_SCDPT1'!SCDPT1_0399999_14+'GMIC_2020-Annu_SCDPT1'!SCDPT1_0499999_14</f>
        <v>0</v>
      </c>
      <c r="S45" s="3">
        <f>'GMIC_2020-Annu_SCDPT1'!SCDPT1_0199999_15+'GMIC_2020-Annu_SCDPT1'!SCDPT1_0299999_15+'GMIC_2020-Annu_SCDPT1'!SCDPT1_0399999_15+'GMIC_2020-Annu_SCDPT1'!SCDPT1_0499999_15</f>
        <v>0</v>
      </c>
      <c r="T45" s="2"/>
      <c r="U45" s="2"/>
      <c r="V45" s="2"/>
      <c r="W45" s="3">
        <f>'GMIC_2020-Annu_SCDPT1'!SCDPT1_0199999_19+'GMIC_2020-Annu_SCDPT1'!SCDPT1_0299999_19+'GMIC_2020-Annu_SCDPT1'!SCDPT1_0399999_19+'GMIC_2020-Annu_SCDPT1'!SCDPT1_0499999_19</f>
        <v>193975</v>
      </c>
      <c r="X45" s="3">
        <f>'GMIC_2020-Annu_SCDPT1'!SCDPT1_0199999_20+'GMIC_2020-Annu_SCDPT1'!SCDPT1_0299999_20+'GMIC_2020-Annu_SCDPT1'!SCDPT1_0399999_20+'GMIC_2020-Annu_SCDPT1'!SCDPT1_0499999_20</f>
        <v>961598</v>
      </c>
      <c r="Y45" s="27"/>
      <c r="Z45" s="27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x14ac:dyDescent="0.25">
      <c r="B46" s="7" t="s">
        <v>2713</v>
      </c>
      <c r="C46" s="1" t="s">
        <v>2713</v>
      </c>
      <c r="D46" s="8" t="s">
        <v>2713</v>
      </c>
      <c r="E46" s="1" t="s">
        <v>2713</v>
      </c>
      <c r="F46" s="1" t="s">
        <v>2713</v>
      </c>
      <c r="G46" s="1" t="s">
        <v>2713</v>
      </c>
      <c r="H46" s="1" t="s">
        <v>2713</v>
      </c>
      <c r="I46" s="1" t="s">
        <v>2713</v>
      </c>
      <c r="J46" s="1" t="s">
        <v>2713</v>
      </c>
      <c r="K46" s="1" t="s">
        <v>2713</v>
      </c>
      <c r="L46" s="1" t="s">
        <v>2713</v>
      </c>
      <c r="M46" s="1" t="s">
        <v>2713</v>
      </c>
      <c r="N46" s="1" t="s">
        <v>2713</v>
      </c>
      <c r="O46" s="1" t="s">
        <v>2713</v>
      </c>
      <c r="P46" s="1" t="s">
        <v>2713</v>
      </c>
      <c r="Q46" s="1" t="s">
        <v>2713</v>
      </c>
      <c r="R46" s="1" t="s">
        <v>2713</v>
      </c>
      <c r="S46" s="1" t="s">
        <v>2713</v>
      </c>
      <c r="T46" s="1" t="s">
        <v>2713</v>
      </c>
      <c r="U46" s="1" t="s">
        <v>2713</v>
      </c>
      <c r="V46" s="1" t="s">
        <v>2713</v>
      </c>
      <c r="W46" s="1" t="s">
        <v>2713</v>
      </c>
      <c r="X46" s="1" t="s">
        <v>2713</v>
      </c>
      <c r="Y46" s="15" t="s">
        <v>2713</v>
      </c>
      <c r="Z46" s="15" t="s">
        <v>2713</v>
      </c>
      <c r="AA46" s="1" t="s">
        <v>2713</v>
      </c>
      <c r="AB46" s="1" t="s">
        <v>2713</v>
      </c>
      <c r="AC46" s="1" t="s">
        <v>2713</v>
      </c>
      <c r="AD46" s="1" t="s">
        <v>2713</v>
      </c>
      <c r="AE46" s="1" t="s">
        <v>2713</v>
      </c>
      <c r="AF46" s="1" t="s">
        <v>2713</v>
      </c>
      <c r="AG46" s="1" t="s">
        <v>2713</v>
      </c>
      <c r="AH46" s="1" t="s">
        <v>2713</v>
      </c>
      <c r="AI46" s="1" t="s">
        <v>2713</v>
      </c>
      <c r="AJ46" s="1" t="s">
        <v>2713</v>
      </c>
      <c r="AK46" s="1" t="s">
        <v>2713</v>
      </c>
      <c r="AL46" s="1" t="s">
        <v>2713</v>
      </c>
      <c r="AM46" s="1" t="s">
        <v>2713</v>
      </c>
    </row>
    <row r="47" spans="2:39" x14ac:dyDescent="0.25">
      <c r="B47" s="18" t="s">
        <v>3534</v>
      </c>
      <c r="C47" s="44" t="s">
        <v>1344</v>
      </c>
      <c r="D47" s="20" t="s">
        <v>897</v>
      </c>
      <c r="E47" s="38" t="s">
        <v>3</v>
      </c>
      <c r="F47" s="22" t="s">
        <v>1157</v>
      </c>
      <c r="G47" s="37" t="s">
        <v>3</v>
      </c>
      <c r="H47" s="33" t="s">
        <v>2715</v>
      </c>
      <c r="I47" s="34" t="s">
        <v>252</v>
      </c>
      <c r="J47" s="36" t="s">
        <v>250</v>
      </c>
      <c r="K47" s="4">
        <v>12104920</v>
      </c>
      <c r="L47" s="39">
        <v>106.526</v>
      </c>
      <c r="M47" s="4">
        <v>12237707</v>
      </c>
      <c r="N47" s="4">
        <v>11488000</v>
      </c>
      <c r="O47" s="4">
        <v>11724368</v>
      </c>
      <c r="P47" s="4">
        <v>0</v>
      </c>
      <c r="Q47" s="4">
        <v>-112568</v>
      </c>
      <c r="R47" s="4">
        <v>0</v>
      </c>
      <c r="S47" s="4">
        <v>0</v>
      </c>
      <c r="T47" s="23">
        <v>4.1379999999999999</v>
      </c>
      <c r="U47" s="23">
        <v>3.0720000000000001</v>
      </c>
      <c r="V47" s="5" t="s">
        <v>1982</v>
      </c>
      <c r="W47" s="4">
        <v>235046</v>
      </c>
      <c r="X47" s="4">
        <v>475373</v>
      </c>
      <c r="Y47" s="11">
        <v>42914</v>
      </c>
      <c r="Z47" s="11">
        <v>44929</v>
      </c>
      <c r="AA47" s="2"/>
      <c r="AB47" s="29" t="s">
        <v>3840</v>
      </c>
      <c r="AC47" s="5" t="s">
        <v>4198</v>
      </c>
      <c r="AD47" s="2"/>
      <c r="AE47" s="9"/>
      <c r="AF47" s="23"/>
      <c r="AG47" s="6"/>
      <c r="AH47" s="5" t="s">
        <v>1345</v>
      </c>
      <c r="AI47" s="5" t="s">
        <v>1158</v>
      </c>
      <c r="AJ47" s="5" t="s">
        <v>1989</v>
      </c>
      <c r="AK47" s="16" t="s">
        <v>3</v>
      </c>
      <c r="AL47" s="40" t="s">
        <v>3842</v>
      </c>
      <c r="AM47" s="31" t="s">
        <v>898</v>
      </c>
    </row>
    <row r="48" spans="2:39" x14ac:dyDescent="0.25">
      <c r="B48" s="18" t="s">
        <v>253</v>
      </c>
      <c r="C48" s="44" t="s">
        <v>5</v>
      </c>
      <c r="D48" s="20" t="s">
        <v>2716</v>
      </c>
      <c r="E48" s="67" t="s">
        <v>3</v>
      </c>
      <c r="F48" s="51" t="s">
        <v>2218</v>
      </c>
      <c r="G48" s="37" t="s">
        <v>3</v>
      </c>
      <c r="H48" s="68" t="s">
        <v>2715</v>
      </c>
      <c r="I48" s="62" t="s">
        <v>1157</v>
      </c>
      <c r="J48" s="61" t="s">
        <v>250</v>
      </c>
      <c r="K48" s="4">
        <v>7224910</v>
      </c>
      <c r="L48" s="39">
        <v>109.17700000000001</v>
      </c>
      <c r="M48" s="4">
        <v>7642390</v>
      </c>
      <c r="N48" s="4">
        <v>7000000</v>
      </c>
      <c r="O48" s="4">
        <v>7143646</v>
      </c>
      <c r="P48" s="4">
        <v>0</v>
      </c>
      <c r="Q48" s="4">
        <v>-46748</v>
      </c>
      <c r="R48" s="4">
        <v>0</v>
      </c>
      <c r="S48" s="4">
        <v>0</v>
      </c>
      <c r="T48" s="23">
        <v>3.625</v>
      </c>
      <c r="U48" s="23">
        <v>2.8839999999999999</v>
      </c>
      <c r="V48" s="5" t="s">
        <v>3312</v>
      </c>
      <c r="W48" s="4">
        <v>23965</v>
      </c>
      <c r="X48" s="4">
        <v>253750</v>
      </c>
      <c r="Y48" s="11">
        <v>43551</v>
      </c>
      <c r="Z48" s="11">
        <v>45257</v>
      </c>
      <c r="AA48" s="2"/>
      <c r="AB48" s="63" t="s">
        <v>3840</v>
      </c>
      <c r="AC48" s="5" t="s">
        <v>4198</v>
      </c>
      <c r="AD48" s="2"/>
      <c r="AE48" s="6"/>
      <c r="AF48" s="23"/>
      <c r="AG48" s="6"/>
      <c r="AH48" s="5" t="s">
        <v>1346</v>
      </c>
      <c r="AI48" s="5" t="s">
        <v>2716</v>
      </c>
      <c r="AJ48" s="5" t="s">
        <v>3</v>
      </c>
      <c r="AK48" s="16" t="s">
        <v>3</v>
      </c>
      <c r="AL48" s="65" t="s">
        <v>3842</v>
      </c>
      <c r="AM48" s="31" t="s">
        <v>1631</v>
      </c>
    </row>
    <row r="49" spans="2:39" x14ac:dyDescent="0.25">
      <c r="B49" s="7" t="s">
        <v>2713</v>
      </c>
      <c r="C49" s="1" t="s">
        <v>2713</v>
      </c>
      <c r="D49" s="8" t="s">
        <v>2713</v>
      </c>
      <c r="E49" s="1" t="s">
        <v>2713</v>
      </c>
      <c r="F49" s="1" t="s">
        <v>2713</v>
      </c>
      <c r="G49" s="1" t="s">
        <v>2713</v>
      </c>
      <c r="H49" s="1" t="s">
        <v>2713</v>
      </c>
      <c r="I49" s="1" t="s">
        <v>2713</v>
      </c>
      <c r="J49" s="1" t="s">
        <v>2713</v>
      </c>
      <c r="K49" s="1" t="s">
        <v>2713</v>
      </c>
      <c r="L49" s="1" t="s">
        <v>2713</v>
      </c>
      <c r="M49" s="1" t="s">
        <v>2713</v>
      </c>
      <c r="N49" s="1" t="s">
        <v>2713</v>
      </c>
      <c r="O49" s="1" t="s">
        <v>2713</v>
      </c>
      <c r="P49" s="1" t="s">
        <v>2713</v>
      </c>
      <c r="Q49" s="1" t="s">
        <v>2713</v>
      </c>
      <c r="R49" s="1" t="s">
        <v>2713</v>
      </c>
      <c r="S49" s="1" t="s">
        <v>2713</v>
      </c>
      <c r="T49" s="1" t="s">
        <v>2713</v>
      </c>
      <c r="U49" s="1" t="s">
        <v>2713</v>
      </c>
      <c r="V49" s="1" t="s">
        <v>2713</v>
      </c>
      <c r="W49" s="1" t="s">
        <v>2713</v>
      </c>
      <c r="X49" s="1" t="s">
        <v>2713</v>
      </c>
      <c r="Y49" s="1" t="s">
        <v>2713</v>
      </c>
      <c r="Z49" s="1" t="s">
        <v>2713</v>
      </c>
      <c r="AA49" s="1" t="s">
        <v>2713</v>
      </c>
      <c r="AB49" s="1" t="s">
        <v>2713</v>
      </c>
      <c r="AC49" s="1" t="s">
        <v>2713</v>
      </c>
      <c r="AD49" s="1" t="s">
        <v>2713</v>
      </c>
      <c r="AE49" s="1" t="s">
        <v>2713</v>
      </c>
      <c r="AF49" s="1" t="s">
        <v>2713</v>
      </c>
      <c r="AG49" s="1" t="s">
        <v>2713</v>
      </c>
      <c r="AH49" s="1" t="s">
        <v>2713</v>
      </c>
      <c r="AI49" s="1" t="s">
        <v>2713</v>
      </c>
      <c r="AJ49" s="1" t="s">
        <v>2713</v>
      </c>
      <c r="AK49" s="1" t="s">
        <v>2713</v>
      </c>
      <c r="AL49" s="1" t="s">
        <v>2713</v>
      </c>
      <c r="AM49" s="1" t="s">
        <v>2713</v>
      </c>
    </row>
    <row r="50" spans="2:39" ht="41.4" x14ac:dyDescent="0.25">
      <c r="B50" s="21" t="s">
        <v>3848</v>
      </c>
      <c r="C50" s="19" t="s">
        <v>6</v>
      </c>
      <c r="D50" s="17"/>
      <c r="E50" s="2"/>
      <c r="F50" s="2"/>
      <c r="G50" s="2"/>
      <c r="H50" s="2"/>
      <c r="I50" s="2"/>
      <c r="J50" s="2"/>
      <c r="K50" s="3">
        <f>SUM('GMIC_2020-Annu_SCDPT1'!SCDPT1_06BEGIN_7:'GMIC_2020-Annu_SCDPT1'!SCDPT1_06ENDIN_7)</f>
        <v>19329830</v>
      </c>
      <c r="L50" s="2"/>
      <c r="M50" s="3">
        <f>SUM('GMIC_2020-Annu_SCDPT1'!SCDPT1_06BEGIN_9:'GMIC_2020-Annu_SCDPT1'!SCDPT1_06ENDIN_9)</f>
        <v>19880097</v>
      </c>
      <c r="N50" s="3">
        <f>SUM('GMIC_2020-Annu_SCDPT1'!SCDPT1_06BEGIN_10:'GMIC_2020-Annu_SCDPT1'!SCDPT1_06ENDIN_10)</f>
        <v>18488000</v>
      </c>
      <c r="O50" s="3">
        <f>SUM('GMIC_2020-Annu_SCDPT1'!SCDPT1_06BEGIN_11:'GMIC_2020-Annu_SCDPT1'!SCDPT1_06ENDIN_11)</f>
        <v>18868014</v>
      </c>
      <c r="P50" s="3">
        <f>SUM('GMIC_2020-Annu_SCDPT1'!SCDPT1_06BEGIN_12:'GMIC_2020-Annu_SCDPT1'!SCDPT1_06ENDIN_12)</f>
        <v>0</v>
      </c>
      <c r="Q50" s="3">
        <f>SUM('GMIC_2020-Annu_SCDPT1'!SCDPT1_06BEGIN_13:'GMIC_2020-Annu_SCDPT1'!SCDPT1_06ENDIN_13)</f>
        <v>-159316</v>
      </c>
      <c r="R50" s="3">
        <f>SUM('GMIC_2020-Annu_SCDPT1'!SCDPT1_06BEGIN_14:'GMIC_2020-Annu_SCDPT1'!SCDPT1_06ENDIN_14)</f>
        <v>0</v>
      </c>
      <c r="S50" s="3">
        <f>SUM('GMIC_2020-Annu_SCDPT1'!SCDPT1_06BEGIN_15:'GMIC_2020-Annu_SCDPT1'!SCDPT1_06ENDIN_15)</f>
        <v>0</v>
      </c>
      <c r="T50" s="2"/>
      <c r="U50" s="2"/>
      <c r="V50" s="2"/>
      <c r="W50" s="3">
        <f>SUM('GMIC_2020-Annu_SCDPT1'!SCDPT1_06BEGIN_19:'GMIC_2020-Annu_SCDPT1'!SCDPT1_06ENDIN_19)</f>
        <v>259011</v>
      </c>
      <c r="X50" s="3">
        <f>SUM('GMIC_2020-Annu_SCDPT1'!SCDPT1_06BEGIN_20:'GMIC_2020-Annu_SCDPT1'!SCDPT1_06ENDIN_20)</f>
        <v>729123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2:39" x14ac:dyDescent="0.25">
      <c r="B51" s="7" t="s">
        <v>2713</v>
      </c>
      <c r="C51" s="1" t="s">
        <v>2713</v>
      </c>
      <c r="D51" s="8" t="s">
        <v>2713</v>
      </c>
      <c r="E51" s="1" t="s">
        <v>2713</v>
      </c>
      <c r="F51" s="1" t="s">
        <v>2713</v>
      </c>
      <c r="G51" s="1" t="s">
        <v>2713</v>
      </c>
      <c r="H51" s="1" t="s">
        <v>2713</v>
      </c>
      <c r="I51" s="1" t="s">
        <v>2713</v>
      </c>
      <c r="J51" s="1" t="s">
        <v>2713</v>
      </c>
      <c r="K51" s="1" t="s">
        <v>2713</v>
      </c>
      <c r="L51" s="1" t="s">
        <v>2713</v>
      </c>
      <c r="M51" s="1" t="s">
        <v>2713</v>
      </c>
      <c r="N51" s="1" t="s">
        <v>2713</v>
      </c>
      <c r="O51" s="1" t="s">
        <v>2713</v>
      </c>
      <c r="P51" s="1" t="s">
        <v>2713</v>
      </c>
      <c r="Q51" s="1" t="s">
        <v>2713</v>
      </c>
      <c r="R51" s="1" t="s">
        <v>2713</v>
      </c>
      <c r="S51" s="1" t="s">
        <v>2713</v>
      </c>
      <c r="T51" s="1" t="s">
        <v>2713</v>
      </c>
      <c r="U51" s="1" t="s">
        <v>2713</v>
      </c>
      <c r="V51" s="1" t="s">
        <v>2713</v>
      </c>
      <c r="W51" s="1" t="s">
        <v>2713</v>
      </c>
      <c r="X51" s="1" t="s">
        <v>2713</v>
      </c>
      <c r="Y51" s="1" t="s">
        <v>2713</v>
      </c>
      <c r="Z51" s="1" t="s">
        <v>2713</v>
      </c>
      <c r="AA51" s="1" t="s">
        <v>2713</v>
      </c>
      <c r="AB51" s="1" t="s">
        <v>2713</v>
      </c>
      <c r="AC51" s="1" t="s">
        <v>2713</v>
      </c>
      <c r="AD51" s="1" t="s">
        <v>2713</v>
      </c>
      <c r="AE51" s="1" t="s">
        <v>2713</v>
      </c>
      <c r="AF51" s="1" t="s">
        <v>2713</v>
      </c>
      <c r="AG51" s="1" t="s">
        <v>2713</v>
      </c>
      <c r="AH51" s="1" t="s">
        <v>2713</v>
      </c>
      <c r="AI51" s="1" t="s">
        <v>2713</v>
      </c>
      <c r="AJ51" s="1" t="s">
        <v>2713</v>
      </c>
      <c r="AK51" s="1" t="s">
        <v>2713</v>
      </c>
      <c r="AL51" s="1" t="s">
        <v>2713</v>
      </c>
      <c r="AM51" s="1" t="s">
        <v>2713</v>
      </c>
    </row>
    <row r="52" spans="2:39" x14ac:dyDescent="0.25">
      <c r="B52" s="18" t="s">
        <v>1632</v>
      </c>
      <c r="C52" s="25" t="s">
        <v>3846</v>
      </c>
      <c r="D52" s="20" t="s">
        <v>3</v>
      </c>
      <c r="E52" s="38" t="s">
        <v>3</v>
      </c>
      <c r="F52" s="22" t="s">
        <v>3</v>
      </c>
      <c r="G52" s="37" t="s">
        <v>3</v>
      </c>
      <c r="H52" s="33" t="s">
        <v>3</v>
      </c>
      <c r="I52" s="34" t="s">
        <v>3</v>
      </c>
      <c r="J52" s="36" t="s">
        <v>3</v>
      </c>
      <c r="K52" s="4"/>
      <c r="L52" s="39"/>
      <c r="M52" s="4"/>
      <c r="N52" s="4"/>
      <c r="O52" s="4"/>
      <c r="P52" s="4"/>
      <c r="Q52" s="4"/>
      <c r="R52" s="4"/>
      <c r="S52" s="4"/>
      <c r="T52" s="23"/>
      <c r="U52" s="23"/>
      <c r="V52" s="5" t="s">
        <v>3</v>
      </c>
      <c r="W52" s="4"/>
      <c r="X52" s="4"/>
      <c r="Y52" s="6"/>
      <c r="Z52" s="6"/>
      <c r="AA52" s="2"/>
      <c r="AB52" s="29" t="s">
        <v>3</v>
      </c>
      <c r="AC52" s="5" t="s">
        <v>3</v>
      </c>
      <c r="AD52" s="2"/>
      <c r="AE52" s="6"/>
      <c r="AF52" s="23"/>
      <c r="AG52" s="6"/>
      <c r="AH52" s="5" t="s">
        <v>3</v>
      </c>
      <c r="AI52" s="5" t="s">
        <v>3</v>
      </c>
      <c r="AJ52" s="5" t="s">
        <v>3</v>
      </c>
      <c r="AK52" s="16" t="s">
        <v>3</v>
      </c>
      <c r="AL52" s="40" t="s">
        <v>3</v>
      </c>
      <c r="AM52" s="31" t="s">
        <v>3</v>
      </c>
    </row>
    <row r="53" spans="2:39" x14ac:dyDescent="0.25">
      <c r="B53" s="7" t="s">
        <v>2713</v>
      </c>
      <c r="C53" s="1" t="s">
        <v>2713</v>
      </c>
      <c r="D53" s="8" t="s">
        <v>2713</v>
      </c>
      <c r="E53" s="1" t="s">
        <v>2713</v>
      </c>
      <c r="F53" s="1" t="s">
        <v>2713</v>
      </c>
      <c r="G53" s="1" t="s">
        <v>2713</v>
      </c>
      <c r="H53" s="1" t="s">
        <v>2713</v>
      </c>
      <c r="I53" s="1" t="s">
        <v>2713</v>
      </c>
      <c r="J53" s="1" t="s">
        <v>2713</v>
      </c>
      <c r="K53" s="1" t="s">
        <v>2713</v>
      </c>
      <c r="L53" s="1" t="s">
        <v>2713</v>
      </c>
      <c r="M53" s="1" t="s">
        <v>2713</v>
      </c>
      <c r="N53" s="1" t="s">
        <v>2713</v>
      </c>
      <c r="O53" s="1" t="s">
        <v>2713</v>
      </c>
      <c r="P53" s="1" t="s">
        <v>2713</v>
      </c>
      <c r="Q53" s="1" t="s">
        <v>2713</v>
      </c>
      <c r="R53" s="1" t="s">
        <v>2713</v>
      </c>
      <c r="S53" s="1" t="s">
        <v>2713</v>
      </c>
      <c r="T53" s="1" t="s">
        <v>2713</v>
      </c>
      <c r="U53" s="1" t="s">
        <v>2713</v>
      </c>
      <c r="V53" s="1" t="s">
        <v>2713</v>
      </c>
      <c r="W53" s="1" t="s">
        <v>2713</v>
      </c>
      <c r="X53" s="1" t="s">
        <v>2713</v>
      </c>
      <c r="Y53" s="1" t="s">
        <v>2713</v>
      </c>
      <c r="Z53" s="1" t="s">
        <v>2713</v>
      </c>
      <c r="AA53" s="1" t="s">
        <v>2713</v>
      </c>
      <c r="AB53" s="1" t="s">
        <v>2713</v>
      </c>
      <c r="AC53" s="1" t="s">
        <v>2713</v>
      </c>
      <c r="AD53" s="1" t="s">
        <v>2713</v>
      </c>
      <c r="AE53" s="1" t="s">
        <v>2713</v>
      </c>
      <c r="AF53" s="1" t="s">
        <v>2713</v>
      </c>
      <c r="AG53" s="1" t="s">
        <v>2713</v>
      </c>
      <c r="AH53" s="1" t="s">
        <v>2713</v>
      </c>
      <c r="AI53" s="1" t="s">
        <v>2713</v>
      </c>
      <c r="AJ53" s="1" t="s">
        <v>2713</v>
      </c>
      <c r="AK53" s="1" t="s">
        <v>2713</v>
      </c>
      <c r="AL53" s="1" t="s">
        <v>2713</v>
      </c>
      <c r="AM53" s="1" t="s">
        <v>2713</v>
      </c>
    </row>
    <row r="54" spans="2:39" ht="41.4" x14ac:dyDescent="0.25">
      <c r="B54" s="21" t="s">
        <v>3074</v>
      </c>
      <c r="C54" s="19" t="s">
        <v>7</v>
      </c>
      <c r="D54" s="17"/>
      <c r="E54" s="2"/>
      <c r="F54" s="2"/>
      <c r="G54" s="2"/>
      <c r="H54" s="2"/>
      <c r="I54" s="2"/>
      <c r="J54" s="2"/>
      <c r="K54" s="3">
        <f>SUM('GMIC_2020-Annu_SCDPT1'!SCDPT1_07BEGIN_7:'GMIC_2020-Annu_SCDPT1'!SCDPT1_07ENDIN_7)</f>
        <v>0</v>
      </c>
      <c r="L54" s="2"/>
      <c r="M54" s="3">
        <f>SUM('GMIC_2020-Annu_SCDPT1'!SCDPT1_07BEGIN_9:'GMIC_2020-Annu_SCDPT1'!SCDPT1_07ENDIN_9)</f>
        <v>0</v>
      </c>
      <c r="N54" s="3">
        <f>SUM('GMIC_2020-Annu_SCDPT1'!SCDPT1_07BEGIN_10:'GMIC_2020-Annu_SCDPT1'!SCDPT1_07ENDIN_10)</f>
        <v>0</v>
      </c>
      <c r="O54" s="3">
        <f>SUM('GMIC_2020-Annu_SCDPT1'!SCDPT1_07BEGIN_11:'GMIC_2020-Annu_SCDPT1'!SCDPT1_07ENDIN_11)</f>
        <v>0</v>
      </c>
      <c r="P54" s="3">
        <f>SUM('GMIC_2020-Annu_SCDPT1'!SCDPT1_07BEGIN_12:'GMIC_2020-Annu_SCDPT1'!SCDPT1_07ENDIN_12)</f>
        <v>0</v>
      </c>
      <c r="Q54" s="3">
        <f>SUM('GMIC_2020-Annu_SCDPT1'!SCDPT1_07BEGIN_13:'GMIC_2020-Annu_SCDPT1'!SCDPT1_07ENDIN_13)</f>
        <v>0</v>
      </c>
      <c r="R54" s="3">
        <f>SUM('GMIC_2020-Annu_SCDPT1'!SCDPT1_07BEGIN_14:'GMIC_2020-Annu_SCDPT1'!SCDPT1_07ENDIN_14)</f>
        <v>0</v>
      </c>
      <c r="S54" s="3">
        <f>SUM('GMIC_2020-Annu_SCDPT1'!SCDPT1_07BEGIN_15:'GMIC_2020-Annu_SCDPT1'!SCDPT1_07ENDIN_15)</f>
        <v>0</v>
      </c>
      <c r="T54" s="2"/>
      <c r="U54" s="2"/>
      <c r="V54" s="2"/>
      <c r="W54" s="3">
        <f>SUM('GMIC_2020-Annu_SCDPT1'!SCDPT1_07BEGIN_19:'GMIC_2020-Annu_SCDPT1'!SCDPT1_07ENDIN_19)</f>
        <v>0</v>
      </c>
      <c r="X54" s="3">
        <f>SUM('GMIC_2020-Annu_SCDPT1'!SCDPT1_07BEGIN_20:'GMIC_2020-Annu_SCDPT1'!SCDPT1_07ENDIN_20)</f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x14ac:dyDescent="0.25">
      <c r="B55" s="7" t="s">
        <v>2713</v>
      </c>
      <c r="C55" s="1" t="s">
        <v>2713</v>
      </c>
      <c r="D55" s="8" t="s">
        <v>2713</v>
      </c>
      <c r="E55" s="1" t="s">
        <v>2713</v>
      </c>
      <c r="F55" s="1" t="s">
        <v>2713</v>
      </c>
      <c r="G55" s="1" t="s">
        <v>2713</v>
      </c>
      <c r="H55" s="1" t="s">
        <v>2713</v>
      </c>
      <c r="I55" s="1" t="s">
        <v>2713</v>
      </c>
      <c r="J55" s="1" t="s">
        <v>2713</v>
      </c>
      <c r="K55" s="1" t="s">
        <v>2713</v>
      </c>
      <c r="L55" s="1" t="s">
        <v>2713</v>
      </c>
      <c r="M55" s="1" t="s">
        <v>2713</v>
      </c>
      <c r="N55" s="1" t="s">
        <v>2713</v>
      </c>
      <c r="O55" s="1" t="s">
        <v>2713</v>
      </c>
      <c r="P55" s="1" t="s">
        <v>2713</v>
      </c>
      <c r="Q55" s="1" t="s">
        <v>2713</v>
      </c>
      <c r="R55" s="1" t="s">
        <v>2713</v>
      </c>
      <c r="S55" s="1" t="s">
        <v>2713</v>
      </c>
      <c r="T55" s="1" t="s">
        <v>2713</v>
      </c>
      <c r="U55" s="1" t="s">
        <v>2713</v>
      </c>
      <c r="V55" s="1" t="s">
        <v>2713</v>
      </c>
      <c r="W55" s="1" t="s">
        <v>2713</v>
      </c>
      <c r="X55" s="1" t="s">
        <v>2713</v>
      </c>
      <c r="Y55" s="1" t="s">
        <v>2713</v>
      </c>
      <c r="Z55" s="1" t="s">
        <v>2713</v>
      </c>
      <c r="AA55" s="1" t="s">
        <v>2713</v>
      </c>
      <c r="AB55" s="1" t="s">
        <v>2713</v>
      </c>
      <c r="AC55" s="1" t="s">
        <v>2713</v>
      </c>
      <c r="AD55" s="1" t="s">
        <v>2713</v>
      </c>
      <c r="AE55" s="1" t="s">
        <v>2713</v>
      </c>
      <c r="AF55" s="1" t="s">
        <v>2713</v>
      </c>
      <c r="AG55" s="1" t="s">
        <v>2713</v>
      </c>
      <c r="AH55" s="1" t="s">
        <v>2713</v>
      </c>
      <c r="AI55" s="1" t="s">
        <v>2713</v>
      </c>
      <c r="AJ55" s="1" t="s">
        <v>2713</v>
      </c>
      <c r="AK55" s="1" t="s">
        <v>2713</v>
      </c>
      <c r="AL55" s="1" t="s">
        <v>2713</v>
      </c>
      <c r="AM55" s="1" t="s">
        <v>2713</v>
      </c>
    </row>
    <row r="56" spans="2:39" x14ac:dyDescent="0.25">
      <c r="B56" s="18" t="s">
        <v>899</v>
      </c>
      <c r="C56" s="25" t="s">
        <v>3846</v>
      </c>
      <c r="D56" s="20" t="s">
        <v>3</v>
      </c>
      <c r="E56" s="38" t="s">
        <v>3</v>
      </c>
      <c r="F56" s="22" t="s">
        <v>3</v>
      </c>
      <c r="G56" s="37" t="s">
        <v>3</v>
      </c>
      <c r="H56" s="33" t="s">
        <v>3</v>
      </c>
      <c r="I56" s="34" t="s">
        <v>3</v>
      </c>
      <c r="J56" s="36" t="s">
        <v>3</v>
      </c>
      <c r="K56" s="4"/>
      <c r="L56" s="39"/>
      <c r="M56" s="4"/>
      <c r="N56" s="4"/>
      <c r="O56" s="4"/>
      <c r="P56" s="4"/>
      <c r="Q56" s="4"/>
      <c r="R56" s="4"/>
      <c r="S56" s="4"/>
      <c r="T56" s="23"/>
      <c r="U56" s="23"/>
      <c r="V56" s="5" t="s">
        <v>3</v>
      </c>
      <c r="W56" s="4"/>
      <c r="X56" s="4"/>
      <c r="Y56" s="6"/>
      <c r="Z56" s="6"/>
      <c r="AA56" s="2"/>
      <c r="AB56" s="29" t="s">
        <v>3</v>
      </c>
      <c r="AC56" s="5" t="s">
        <v>3</v>
      </c>
      <c r="AD56" s="2"/>
      <c r="AE56" s="6"/>
      <c r="AF56" s="23"/>
      <c r="AG56" s="6"/>
      <c r="AH56" s="5" t="s">
        <v>3</v>
      </c>
      <c r="AI56" s="5" t="s">
        <v>3</v>
      </c>
      <c r="AJ56" s="5" t="s">
        <v>3</v>
      </c>
      <c r="AK56" s="16" t="s">
        <v>3</v>
      </c>
      <c r="AL56" s="40" t="s">
        <v>3</v>
      </c>
      <c r="AM56" s="31" t="s">
        <v>3</v>
      </c>
    </row>
    <row r="57" spans="2:39" x14ac:dyDescent="0.25">
      <c r="B57" s="7" t="s">
        <v>2713</v>
      </c>
      <c r="C57" s="1" t="s">
        <v>2713</v>
      </c>
      <c r="D57" s="8" t="s">
        <v>2713</v>
      </c>
      <c r="E57" s="1" t="s">
        <v>2713</v>
      </c>
      <c r="F57" s="1" t="s">
        <v>2713</v>
      </c>
      <c r="G57" s="1" t="s">
        <v>2713</v>
      </c>
      <c r="H57" s="1" t="s">
        <v>2713</v>
      </c>
      <c r="I57" s="1" t="s">
        <v>2713</v>
      </c>
      <c r="J57" s="1" t="s">
        <v>2713</v>
      </c>
      <c r="K57" s="1" t="s">
        <v>2713</v>
      </c>
      <c r="L57" s="1" t="s">
        <v>2713</v>
      </c>
      <c r="M57" s="1" t="s">
        <v>2713</v>
      </c>
      <c r="N57" s="1" t="s">
        <v>2713</v>
      </c>
      <c r="O57" s="1" t="s">
        <v>2713</v>
      </c>
      <c r="P57" s="1" t="s">
        <v>2713</v>
      </c>
      <c r="Q57" s="1" t="s">
        <v>2713</v>
      </c>
      <c r="R57" s="1" t="s">
        <v>2713</v>
      </c>
      <c r="S57" s="1" t="s">
        <v>2713</v>
      </c>
      <c r="T57" s="1" t="s">
        <v>2713</v>
      </c>
      <c r="U57" s="1" t="s">
        <v>2713</v>
      </c>
      <c r="V57" s="1" t="s">
        <v>2713</v>
      </c>
      <c r="W57" s="1" t="s">
        <v>2713</v>
      </c>
      <c r="X57" s="1" t="s">
        <v>2713</v>
      </c>
      <c r="Y57" s="15" t="s">
        <v>2713</v>
      </c>
      <c r="Z57" s="15" t="s">
        <v>2713</v>
      </c>
      <c r="AA57" s="1" t="s">
        <v>2713</v>
      </c>
      <c r="AB57" s="1" t="s">
        <v>2713</v>
      </c>
      <c r="AC57" s="1" t="s">
        <v>2713</v>
      </c>
      <c r="AD57" s="1" t="s">
        <v>2713</v>
      </c>
      <c r="AE57" s="1" t="s">
        <v>2713</v>
      </c>
      <c r="AF57" s="1" t="s">
        <v>2713</v>
      </c>
      <c r="AG57" s="1" t="s">
        <v>2713</v>
      </c>
      <c r="AH57" s="1" t="s">
        <v>2713</v>
      </c>
      <c r="AI57" s="1" t="s">
        <v>2713</v>
      </c>
      <c r="AJ57" s="1" t="s">
        <v>2713</v>
      </c>
      <c r="AK57" s="1" t="s">
        <v>2713</v>
      </c>
      <c r="AL57" s="1" t="s">
        <v>2713</v>
      </c>
      <c r="AM57" s="1" t="s">
        <v>2713</v>
      </c>
    </row>
    <row r="58" spans="2:39" ht="41.4" x14ac:dyDescent="0.25">
      <c r="B58" s="21" t="s">
        <v>2219</v>
      </c>
      <c r="C58" s="19" t="s">
        <v>3075</v>
      </c>
      <c r="D58" s="17"/>
      <c r="E58" s="2"/>
      <c r="F58" s="2"/>
      <c r="G58" s="2"/>
      <c r="H58" s="2"/>
      <c r="I58" s="2"/>
      <c r="J58" s="2"/>
      <c r="K58" s="3">
        <f>SUM('GMIC_2020-Annu_SCDPT1'!SCDPT1_08BEGIN_7:'GMIC_2020-Annu_SCDPT1'!SCDPT1_08ENDIN_7)</f>
        <v>0</v>
      </c>
      <c r="L58" s="2"/>
      <c r="M58" s="3">
        <f>SUM('GMIC_2020-Annu_SCDPT1'!SCDPT1_08BEGIN_9:'GMIC_2020-Annu_SCDPT1'!SCDPT1_08ENDIN_9)</f>
        <v>0</v>
      </c>
      <c r="N58" s="3">
        <f>SUM('GMIC_2020-Annu_SCDPT1'!SCDPT1_08BEGIN_10:'GMIC_2020-Annu_SCDPT1'!SCDPT1_08ENDIN_10)</f>
        <v>0</v>
      </c>
      <c r="O58" s="3">
        <f>SUM('GMIC_2020-Annu_SCDPT1'!SCDPT1_08BEGIN_11:'GMIC_2020-Annu_SCDPT1'!SCDPT1_08ENDIN_11)</f>
        <v>0</v>
      </c>
      <c r="P58" s="3">
        <f>SUM('GMIC_2020-Annu_SCDPT1'!SCDPT1_08BEGIN_12:'GMIC_2020-Annu_SCDPT1'!SCDPT1_08ENDIN_12)</f>
        <v>0</v>
      </c>
      <c r="Q58" s="3">
        <f>SUM('GMIC_2020-Annu_SCDPT1'!SCDPT1_08BEGIN_13:'GMIC_2020-Annu_SCDPT1'!SCDPT1_08ENDIN_13)</f>
        <v>0</v>
      </c>
      <c r="R58" s="3">
        <f>SUM('GMIC_2020-Annu_SCDPT1'!SCDPT1_08BEGIN_14:'GMIC_2020-Annu_SCDPT1'!SCDPT1_08ENDIN_14)</f>
        <v>0</v>
      </c>
      <c r="S58" s="3">
        <f>SUM('GMIC_2020-Annu_SCDPT1'!SCDPT1_08BEGIN_15:'GMIC_2020-Annu_SCDPT1'!SCDPT1_08ENDIN_15)</f>
        <v>0</v>
      </c>
      <c r="T58" s="2"/>
      <c r="U58" s="2"/>
      <c r="V58" s="2"/>
      <c r="W58" s="3">
        <f>SUM('GMIC_2020-Annu_SCDPT1'!SCDPT1_08BEGIN_19:'GMIC_2020-Annu_SCDPT1'!SCDPT1_08ENDIN_19)</f>
        <v>0</v>
      </c>
      <c r="X58" s="3">
        <f>SUM('GMIC_2020-Annu_SCDPT1'!SCDPT1_08BEGIN_20:'GMIC_2020-Annu_SCDPT1'!SCDPT1_08ENDIN_20)</f>
        <v>0</v>
      </c>
      <c r="Y58" s="27"/>
      <c r="Z58" s="27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x14ac:dyDescent="0.25">
      <c r="B59" s="7" t="s">
        <v>2713</v>
      </c>
      <c r="C59" s="1" t="s">
        <v>2713</v>
      </c>
      <c r="D59" s="8" t="s">
        <v>2713</v>
      </c>
      <c r="E59" s="1" t="s">
        <v>2713</v>
      </c>
      <c r="F59" s="1" t="s">
        <v>2713</v>
      </c>
      <c r="G59" s="1" t="s">
        <v>2713</v>
      </c>
      <c r="H59" s="1" t="s">
        <v>2713</v>
      </c>
      <c r="I59" s="1" t="s">
        <v>2713</v>
      </c>
      <c r="J59" s="1" t="s">
        <v>2713</v>
      </c>
      <c r="K59" s="1" t="s">
        <v>2713</v>
      </c>
      <c r="L59" s="1" t="s">
        <v>2713</v>
      </c>
      <c r="M59" s="1" t="s">
        <v>2713</v>
      </c>
      <c r="N59" s="1" t="s">
        <v>2713</v>
      </c>
      <c r="O59" s="1" t="s">
        <v>2713</v>
      </c>
      <c r="P59" s="1" t="s">
        <v>2713</v>
      </c>
      <c r="Q59" s="1" t="s">
        <v>2713</v>
      </c>
      <c r="R59" s="1" t="s">
        <v>2713</v>
      </c>
      <c r="S59" s="1" t="s">
        <v>2713</v>
      </c>
      <c r="T59" s="1" t="s">
        <v>2713</v>
      </c>
      <c r="U59" s="1" t="s">
        <v>2713</v>
      </c>
      <c r="V59" s="1" t="s">
        <v>2713</v>
      </c>
      <c r="W59" s="1" t="s">
        <v>2713</v>
      </c>
      <c r="X59" s="1" t="s">
        <v>2713</v>
      </c>
      <c r="Y59" s="15" t="s">
        <v>2713</v>
      </c>
      <c r="Z59" s="15" t="s">
        <v>2713</v>
      </c>
      <c r="AA59" s="1" t="s">
        <v>2713</v>
      </c>
      <c r="AB59" s="1" t="s">
        <v>2713</v>
      </c>
      <c r="AC59" s="1" t="s">
        <v>2713</v>
      </c>
      <c r="AD59" s="1" t="s">
        <v>2713</v>
      </c>
      <c r="AE59" s="1" t="s">
        <v>2713</v>
      </c>
      <c r="AF59" s="1" t="s">
        <v>2713</v>
      </c>
      <c r="AG59" s="1" t="s">
        <v>2713</v>
      </c>
      <c r="AH59" s="1" t="s">
        <v>2713</v>
      </c>
      <c r="AI59" s="1" t="s">
        <v>2713</v>
      </c>
      <c r="AJ59" s="1" t="s">
        <v>2713</v>
      </c>
      <c r="AK59" s="1" t="s">
        <v>2713</v>
      </c>
      <c r="AL59" s="1" t="s">
        <v>2713</v>
      </c>
      <c r="AM59" s="1" t="s">
        <v>2713</v>
      </c>
    </row>
    <row r="60" spans="2:39" x14ac:dyDescent="0.25">
      <c r="B60" s="18" t="s">
        <v>8</v>
      </c>
      <c r="C60" s="25" t="s">
        <v>3846</v>
      </c>
      <c r="D60" s="20" t="s">
        <v>3</v>
      </c>
      <c r="E60" s="38" t="s">
        <v>3</v>
      </c>
      <c r="F60" s="22" t="s">
        <v>3</v>
      </c>
      <c r="G60" s="37" t="s">
        <v>3</v>
      </c>
      <c r="H60" s="33" t="s">
        <v>3</v>
      </c>
      <c r="I60" s="34" t="s">
        <v>3</v>
      </c>
      <c r="J60" s="36" t="s">
        <v>3</v>
      </c>
      <c r="K60" s="4"/>
      <c r="L60" s="39"/>
      <c r="M60" s="4"/>
      <c r="N60" s="4"/>
      <c r="O60" s="4"/>
      <c r="P60" s="4"/>
      <c r="Q60" s="4"/>
      <c r="R60" s="4"/>
      <c r="S60" s="4"/>
      <c r="T60" s="23"/>
      <c r="U60" s="23"/>
      <c r="V60" s="5" t="s">
        <v>3</v>
      </c>
      <c r="W60" s="4"/>
      <c r="X60" s="4"/>
      <c r="Y60" s="9"/>
      <c r="Z60" s="9"/>
      <c r="AA60" s="2"/>
      <c r="AB60" s="29" t="s">
        <v>3</v>
      </c>
      <c r="AC60" s="5" t="s">
        <v>3</v>
      </c>
      <c r="AD60" s="2"/>
      <c r="AE60" s="6"/>
      <c r="AF60" s="23"/>
      <c r="AG60" s="6"/>
      <c r="AH60" s="5" t="s">
        <v>3</v>
      </c>
      <c r="AI60" s="5" t="s">
        <v>3</v>
      </c>
      <c r="AJ60" s="5" t="s">
        <v>3</v>
      </c>
      <c r="AK60" s="16" t="s">
        <v>3</v>
      </c>
      <c r="AL60" s="40" t="s">
        <v>3</v>
      </c>
      <c r="AM60" s="31" t="s">
        <v>3</v>
      </c>
    </row>
    <row r="61" spans="2:39" x14ac:dyDescent="0.25">
      <c r="B61" s="7" t="s">
        <v>2713</v>
      </c>
      <c r="C61" s="1" t="s">
        <v>2713</v>
      </c>
      <c r="D61" s="8" t="s">
        <v>2713</v>
      </c>
      <c r="E61" s="1" t="s">
        <v>2713</v>
      </c>
      <c r="F61" s="1" t="s">
        <v>2713</v>
      </c>
      <c r="G61" s="1" t="s">
        <v>2713</v>
      </c>
      <c r="H61" s="1" t="s">
        <v>2713</v>
      </c>
      <c r="I61" s="1" t="s">
        <v>2713</v>
      </c>
      <c r="J61" s="1" t="s">
        <v>2713</v>
      </c>
      <c r="K61" s="1" t="s">
        <v>2713</v>
      </c>
      <c r="L61" s="1" t="s">
        <v>2713</v>
      </c>
      <c r="M61" s="1" t="s">
        <v>2713</v>
      </c>
      <c r="N61" s="1" t="s">
        <v>2713</v>
      </c>
      <c r="O61" s="1" t="s">
        <v>2713</v>
      </c>
      <c r="P61" s="1" t="s">
        <v>2713</v>
      </c>
      <c r="Q61" s="1" t="s">
        <v>2713</v>
      </c>
      <c r="R61" s="1" t="s">
        <v>2713</v>
      </c>
      <c r="S61" s="1" t="s">
        <v>2713</v>
      </c>
      <c r="T61" s="1" t="s">
        <v>2713</v>
      </c>
      <c r="U61" s="1" t="s">
        <v>2713</v>
      </c>
      <c r="V61" s="1" t="s">
        <v>2713</v>
      </c>
      <c r="W61" s="1" t="s">
        <v>2713</v>
      </c>
      <c r="X61" s="1" t="s">
        <v>2713</v>
      </c>
      <c r="Y61" s="15" t="s">
        <v>2713</v>
      </c>
      <c r="Z61" s="15" t="s">
        <v>2713</v>
      </c>
      <c r="AA61" s="1" t="s">
        <v>2713</v>
      </c>
      <c r="AB61" s="1" t="s">
        <v>2713</v>
      </c>
      <c r="AC61" s="1" t="s">
        <v>2713</v>
      </c>
      <c r="AD61" s="1" t="s">
        <v>2713</v>
      </c>
      <c r="AE61" s="1" t="s">
        <v>2713</v>
      </c>
      <c r="AF61" s="1" t="s">
        <v>2713</v>
      </c>
      <c r="AG61" s="1" t="s">
        <v>2713</v>
      </c>
      <c r="AH61" s="1" t="s">
        <v>2713</v>
      </c>
      <c r="AI61" s="1" t="s">
        <v>2713</v>
      </c>
      <c r="AJ61" s="1" t="s">
        <v>2713</v>
      </c>
      <c r="AK61" s="1" t="s">
        <v>2713</v>
      </c>
      <c r="AL61" s="1" t="s">
        <v>2713</v>
      </c>
      <c r="AM61" s="1" t="s">
        <v>2713</v>
      </c>
    </row>
    <row r="62" spans="2:39" ht="55.2" x14ac:dyDescent="0.25">
      <c r="B62" s="21" t="s">
        <v>1347</v>
      </c>
      <c r="C62" s="19" t="s">
        <v>3315</v>
      </c>
      <c r="D62" s="17"/>
      <c r="E62" s="2"/>
      <c r="F62" s="2"/>
      <c r="G62" s="2"/>
      <c r="H62" s="2"/>
      <c r="I62" s="2"/>
      <c r="J62" s="2"/>
      <c r="K62" s="3">
        <f>SUM('GMIC_2020-Annu_SCDPT1'!SCDPT1_09BEGIN_7:'GMIC_2020-Annu_SCDPT1'!SCDPT1_09ENDIN_7)</f>
        <v>0</v>
      </c>
      <c r="L62" s="2"/>
      <c r="M62" s="3">
        <f>SUM('GMIC_2020-Annu_SCDPT1'!SCDPT1_09BEGIN_9:'GMIC_2020-Annu_SCDPT1'!SCDPT1_09ENDIN_9)</f>
        <v>0</v>
      </c>
      <c r="N62" s="3">
        <f>SUM('GMIC_2020-Annu_SCDPT1'!SCDPT1_09BEGIN_10:'GMIC_2020-Annu_SCDPT1'!SCDPT1_09ENDIN_10)</f>
        <v>0</v>
      </c>
      <c r="O62" s="3">
        <f>SUM('GMIC_2020-Annu_SCDPT1'!SCDPT1_09BEGIN_11:'GMIC_2020-Annu_SCDPT1'!SCDPT1_09ENDIN_11)</f>
        <v>0</v>
      </c>
      <c r="P62" s="3">
        <f>SUM('GMIC_2020-Annu_SCDPT1'!SCDPT1_09BEGIN_12:'GMIC_2020-Annu_SCDPT1'!SCDPT1_09ENDIN_12)</f>
        <v>0</v>
      </c>
      <c r="Q62" s="3">
        <f>SUM('GMIC_2020-Annu_SCDPT1'!SCDPT1_09BEGIN_13:'GMIC_2020-Annu_SCDPT1'!SCDPT1_09ENDIN_13)</f>
        <v>0</v>
      </c>
      <c r="R62" s="3">
        <f>SUM('GMIC_2020-Annu_SCDPT1'!SCDPT1_09BEGIN_14:'GMIC_2020-Annu_SCDPT1'!SCDPT1_09ENDIN_14)</f>
        <v>0</v>
      </c>
      <c r="S62" s="3">
        <f>SUM('GMIC_2020-Annu_SCDPT1'!SCDPT1_09BEGIN_15:'GMIC_2020-Annu_SCDPT1'!SCDPT1_09ENDIN_15)</f>
        <v>0</v>
      </c>
      <c r="T62" s="2"/>
      <c r="U62" s="2"/>
      <c r="V62" s="2"/>
      <c r="W62" s="3">
        <f>SUM('GMIC_2020-Annu_SCDPT1'!SCDPT1_09BEGIN_19:'GMIC_2020-Annu_SCDPT1'!SCDPT1_09ENDIN_19)</f>
        <v>0</v>
      </c>
      <c r="X62" s="3">
        <f>SUM('GMIC_2020-Annu_SCDPT1'!SCDPT1_09BEGIN_20:'GMIC_2020-Annu_SCDPT1'!SCDPT1_09ENDIN_20)</f>
        <v>0</v>
      </c>
      <c r="Y62" s="27"/>
      <c r="Z62" s="27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ht="27.6" x14ac:dyDescent="0.25">
      <c r="B63" s="21" t="s">
        <v>2220</v>
      </c>
      <c r="C63" s="19" t="s">
        <v>900</v>
      </c>
      <c r="D63" s="17"/>
      <c r="E63" s="2"/>
      <c r="F63" s="2"/>
      <c r="G63" s="2"/>
      <c r="H63" s="2"/>
      <c r="I63" s="2"/>
      <c r="J63" s="2"/>
      <c r="K63" s="3">
        <f>'GMIC_2020-Annu_SCDPT1'!SCDPT1_0699999_7+'GMIC_2020-Annu_SCDPT1'!SCDPT1_0799999_7+'GMIC_2020-Annu_SCDPT1'!SCDPT1_0899999_7+'GMIC_2020-Annu_SCDPT1'!SCDPT1_0999999_7</f>
        <v>19329830</v>
      </c>
      <c r="L63" s="2"/>
      <c r="M63" s="3">
        <f>'GMIC_2020-Annu_SCDPT1'!SCDPT1_0699999_9+'GMIC_2020-Annu_SCDPT1'!SCDPT1_0799999_9+'GMIC_2020-Annu_SCDPT1'!SCDPT1_0899999_9+'GMIC_2020-Annu_SCDPT1'!SCDPT1_0999999_9</f>
        <v>19880097</v>
      </c>
      <c r="N63" s="3">
        <f>'GMIC_2020-Annu_SCDPT1'!SCDPT1_0699999_10+'GMIC_2020-Annu_SCDPT1'!SCDPT1_0799999_10+'GMIC_2020-Annu_SCDPT1'!SCDPT1_0899999_10+'GMIC_2020-Annu_SCDPT1'!SCDPT1_0999999_10</f>
        <v>18488000</v>
      </c>
      <c r="O63" s="3">
        <f>'GMIC_2020-Annu_SCDPT1'!SCDPT1_0699999_11+'GMIC_2020-Annu_SCDPT1'!SCDPT1_0799999_11+'GMIC_2020-Annu_SCDPT1'!SCDPT1_0899999_11+'GMIC_2020-Annu_SCDPT1'!SCDPT1_0999999_11</f>
        <v>18868014</v>
      </c>
      <c r="P63" s="3">
        <f>'GMIC_2020-Annu_SCDPT1'!SCDPT1_0699999_12+'GMIC_2020-Annu_SCDPT1'!SCDPT1_0799999_12+'GMIC_2020-Annu_SCDPT1'!SCDPT1_0899999_12+'GMIC_2020-Annu_SCDPT1'!SCDPT1_0999999_12</f>
        <v>0</v>
      </c>
      <c r="Q63" s="3">
        <f>'GMIC_2020-Annu_SCDPT1'!SCDPT1_0699999_13+'GMIC_2020-Annu_SCDPT1'!SCDPT1_0799999_13+'GMIC_2020-Annu_SCDPT1'!SCDPT1_0899999_13+'GMIC_2020-Annu_SCDPT1'!SCDPT1_0999999_13</f>
        <v>-159316</v>
      </c>
      <c r="R63" s="3">
        <f>'GMIC_2020-Annu_SCDPT1'!SCDPT1_0699999_14+'GMIC_2020-Annu_SCDPT1'!SCDPT1_0799999_14+'GMIC_2020-Annu_SCDPT1'!SCDPT1_0899999_14+'GMIC_2020-Annu_SCDPT1'!SCDPT1_0999999_14</f>
        <v>0</v>
      </c>
      <c r="S63" s="3">
        <f>'GMIC_2020-Annu_SCDPT1'!SCDPT1_0699999_15+'GMIC_2020-Annu_SCDPT1'!SCDPT1_0799999_15+'GMIC_2020-Annu_SCDPT1'!SCDPT1_0899999_15+'GMIC_2020-Annu_SCDPT1'!SCDPT1_0999999_15</f>
        <v>0</v>
      </c>
      <c r="T63" s="2"/>
      <c r="U63" s="2"/>
      <c r="V63" s="2"/>
      <c r="W63" s="3">
        <f>'GMIC_2020-Annu_SCDPT1'!SCDPT1_0699999_19+'GMIC_2020-Annu_SCDPT1'!SCDPT1_0799999_19+'GMIC_2020-Annu_SCDPT1'!SCDPT1_0899999_19+'GMIC_2020-Annu_SCDPT1'!SCDPT1_0999999_19</f>
        <v>259011</v>
      </c>
      <c r="X63" s="3">
        <f>'GMIC_2020-Annu_SCDPT1'!SCDPT1_0699999_20+'GMIC_2020-Annu_SCDPT1'!SCDPT1_0799999_20+'GMIC_2020-Annu_SCDPT1'!SCDPT1_0899999_20+'GMIC_2020-Annu_SCDPT1'!SCDPT1_0999999_20</f>
        <v>729123</v>
      </c>
      <c r="Y63" s="27"/>
      <c r="Z63" s="27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39" x14ac:dyDescent="0.25">
      <c r="B64" s="7" t="s">
        <v>2713</v>
      </c>
      <c r="C64" s="1" t="s">
        <v>2713</v>
      </c>
      <c r="D64" s="8" t="s">
        <v>2713</v>
      </c>
      <c r="E64" s="1" t="s">
        <v>2713</v>
      </c>
      <c r="F64" s="1" t="s">
        <v>2713</v>
      </c>
      <c r="G64" s="1" t="s">
        <v>2713</v>
      </c>
      <c r="H64" s="1" t="s">
        <v>2713</v>
      </c>
      <c r="I64" s="1" t="s">
        <v>2713</v>
      </c>
      <c r="J64" s="1" t="s">
        <v>2713</v>
      </c>
      <c r="K64" s="1" t="s">
        <v>2713</v>
      </c>
      <c r="L64" s="1" t="s">
        <v>2713</v>
      </c>
      <c r="M64" s="1" t="s">
        <v>2713</v>
      </c>
      <c r="N64" s="1" t="s">
        <v>2713</v>
      </c>
      <c r="O64" s="1" t="s">
        <v>2713</v>
      </c>
      <c r="P64" s="1" t="s">
        <v>2713</v>
      </c>
      <c r="Q64" s="1" t="s">
        <v>2713</v>
      </c>
      <c r="R64" s="1" t="s">
        <v>2713</v>
      </c>
      <c r="S64" s="1" t="s">
        <v>2713</v>
      </c>
      <c r="T64" s="1" t="s">
        <v>2713</v>
      </c>
      <c r="U64" s="1" t="s">
        <v>2713</v>
      </c>
      <c r="V64" s="1" t="s">
        <v>2713</v>
      </c>
      <c r="W64" s="1" t="s">
        <v>2713</v>
      </c>
      <c r="X64" s="1" t="s">
        <v>2713</v>
      </c>
      <c r="Y64" s="15" t="s">
        <v>2713</v>
      </c>
      <c r="Z64" s="15" t="s">
        <v>2713</v>
      </c>
      <c r="AA64" s="1" t="s">
        <v>2713</v>
      </c>
      <c r="AB64" s="1" t="s">
        <v>2713</v>
      </c>
      <c r="AC64" s="1" t="s">
        <v>2713</v>
      </c>
      <c r="AD64" s="1" t="s">
        <v>2713</v>
      </c>
      <c r="AE64" s="1" t="s">
        <v>2713</v>
      </c>
      <c r="AF64" s="1" t="s">
        <v>2713</v>
      </c>
      <c r="AG64" s="1" t="s">
        <v>2713</v>
      </c>
      <c r="AH64" s="1" t="s">
        <v>2713</v>
      </c>
      <c r="AI64" s="1" t="s">
        <v>2713</v>
      </c>
      <c r="AJ64" s="1" t="s">
        <v>2713</v>
      </c>
      <c r="AK64" s="1" t="s">
        <v>2713</v>
      </c>
      <c r="AL64" s="1" t="s">
        <v>2713</v>
      </c>
      <c r="AM64" s="1" t="s">
        <v>2713</v>
      </c>
    </row>
    <row r="65" spans="2:39" x14ac:dyDescent="0.25">
      <c r="B65" s="18" t="s">
        <v>1159</v>
      </c>
      <c r="C65" s="44" t="s">
        <v>1160</v>
      </c>
      <c r="D65" s="20" t="s">
        <v>1990</v>
      </c>
      <c r="E65" s="38" t="s">
        <v>3</v>
      </c>
      <c r="F65" s="22" t="s">
        <v>3</v>
      </c>
      <c r="G65" s="37" t="s">
        <v>3</v>
      </c>
      <c r="H65" s="33" t="s">
        <v>2715</v>
      </c>
      <c r="I65" s="34" t="s">
        <v>1157</v>
      </c>
      <c r="J65" s="36" t="s">
        <v>250</v>
      </c>
      <c r="K65" s="4">
        <v>1479990</v>
      </c>
      <c r="L65" s="39">
        <v>101.197</v>
      </c>
      <c r="M65" s="4">
        <v>1517955</v>
      </c>
      <c r="N65" s="4">
        <v>1500000</v>
      </c>
      <c r="O65" s="4">
        <v>1493889</v>
      </c>
      <c r="P65" s="4">
        <v>0</v>
      </c>
      <c r="Q65" s="4">
        <v>7982</v>
      </c>
      <c r="R65" s="4">
        <v>0</v>
      </c>
      <c r="S65" s="4">
        <v>0</v>
      </c>
      <c r="T65" s="23">
        <v>1.9339999999999999</v>
      </c>
      <c r="U65" s="23">
        <v>2.4860000000000002</v>
      </c>
      <c r="V65" s="5" t="s">
        <v>3843</v>
      </c>
      <c r="W65" s="4">
        <v>7252</v>
      </c>
      <c r="X65" s="4">
        <v>29010</v>
      </c>
      <c r="Y65" s="11">
        <v>43553</v>
      </c>
      <c r="Z65" s="11">
        <v>44470</v>
      </c>
      <c r="AA65" s="42" t="s">
        <v>2717</v>
      </c>
      <c r="AB65" s="29" t="s">
        <v>3840</v>
      </c>
      <c r="AC65" s="5" t="s">
        <v>9</v>
      </c>
      <c r="AD65" s="2"/>
      <c r="AE65" s="6"/>
      <c r="AF65" s="23"/>
      <c r="AG65" s="6"/>
      <c r="AH65" s="5" t="s">
        <v>3</v>
      </c>
      <c r="AI65" s="5" t="s">
        <v>1348</v>
      </c>
      <c r="AJ65" s="5" t="s">
        <v>1348</v>
      </c>
      <c r="AK65" s="16" t="s">
        <v>3</v>
      </c>
      <c r="AL65" s="40" t="s">
        <v>2715</v>
      </c>
      <c r="AM65" s="31" t="s">
        <v>1631</v>
      </c>
    </row>
    <row r="66" spans="2:39" x14ac:dyDescent="0.25">
      <c r="B66" s="18" t="s">
        <v>2221</v>
      </c>
      <c r="C66" s="44" t="s">
        <v>1991</v>
      </c>
      <c r="D66" s="20" t="s">
        <v>901</v>
      </c>
      <c r="E66" s="67" t="s">
        <v>3</v>
      </c>
      <c r="F66" s="51" t="s">
        <v>3</v>
      </c>
      <c r="G66" s="37" t="s">
        <v>2715</v>
      </c>
      <c r="H66" s="68" t="s">
        <v>2715</v>
      </c>
      <c r="I66" s="62" t="s">
        <v>10</v>
      </c>
      <c r="J66" s="61" t="s">
        <v>250</v>
      </c>
      <c r="K66" s="4">
        <v>2000000</v>
      </c>
      <c r="L66" s="39">
        <v>103.518</v>
      </c>
      <c r="M66" s="4">
        <v>2070360</v>
      </c>
      <c r="N66" s="4">
        <v>2000000</v>
      </c>
      <c r="O66" s="4">
        <v>2000000</v>
      </c>
      <c r="P66" s="4">
        <v>0</v>
      </c>
      <c r="Q66" s="4">
        <v>0</v>
      </c>
      <c r="R66" s="4">
        <v>0</v>
      </c>
      <c r="S66" s="4">
        <v>0</v>
      </c>
      <c r="T66" s="23">
        <v>1.67</v>
      </c>
      <c r="U66" s="23">
        <v>1.67</v>
      </c>
      <c r="V66" s="5" t="s">
        <v>3312</v>
      </c>
      <c r="W66" s="4">
        <v>2598</v>
      </c>
      <c r="X66" s="4">
        <v>0</v>
      </c>
      <c r="Y66" s="11">
        <v>44154</v>
      </c>
      <c r="Z66" s="11">
        <v>48153</v>
      </c>
      <c r="AA66" s="64" t="s">
        <v>1633</v>
      </c>
      <c r="AB66" s="63" t="s">
        <v>3840</v>
      </c>
      <c r="AC66" s="5" t="s">
        <v>9</v>
      </c>
      <c r="AD66" s="2"/>
      <c r="AE66" s="10">
        <v>47788</v>
      </c>
      <c r="AF66" s="23">
        <v>100</v>
      </c>
      <c r="AG66" s="6"/>
      <c r="AH66" s="5" t="s">
        <v>4205</v>
      </c>
      <c r="AI66" s="5" t="s">
        <v>2440</v>
      </c>
      <c r="AJ66" s="5" t="s">
        <v>2440</v>
      </c>
      <c r="AK66" s="16" t="s">
        <v>3</v>
      </c>
      <c r="AL66" s="65" t="s">
        <v>2715</v>
      </c>
      <c r="AM66" s="31" t="s">
        <v>1992</v>
      </c>
    </row>
    <row r="67" spans="2:39" x14ac:dyDescent="0.25">
      <c r="B67" s="18" t="s">
        <v>3316</v>
      </c>
      <c r="C67" s="44" t="s">
        <v>11</v>
      </c>
      <c r="D67" s="20" t="s">
        <v>3317</v>
      </c>
      <c r="E67" s="67" t="s">
        <v>3</v>
      </c>
      <c r="F67" s="51" t="s">
        <v>3</v>
      </c>
      <c r="G67" s="37" t="s">
        <v>2715</v>
      </c>
      <c r="H67" s="68" t="s">
        <v>2715</v>
      </c>
      <c r="I67" s="62" t="s">
        <v>1157</v>
      </c>
      <c r="J67" s="61" t="s">
        <v>250</v>
      </c>
      <c r="K67" s="4">
        <v>1595000</v>
      </c>
      <c r="L67" s="39">
        <v>101.38</v>
      </c>
      <c r="M67" s="4">
        <v>1617011</v>
      </c>
      <c r="N67" s="4">
        <v>1595000</v>
      </c>
      <c r="O67" s="4">
        <v>1595000</v>
      </c>
      <c r="P67" s="4">
        <v>0</v>
      </c>
      <c r="Q67" s="4">
        <v>0</v>
      </c>
      <c r="R67" s="4">
        <v>0</v>
      </c>
      <c r="S67" s="4">
        <v>0</v>
      </c>
      <c r="T67" s="23">
        <v>1.3819999999999999</v>
      </c>
      <c r="U67" s="23">
        <v>1.3819999999999999</v>
      </c>
      <c r="V67" s="5" t="s">
        <v>3312</v>
      </c>
      <c r="W67" s="4">
        <v>3674</v>
      </c>
      <c r="X67" s="4">
        <v>5205</v>
      </c>
      <c r="Y67" s="11">
        <v>44036</v>
      </c>
      <c r="Z67" s="11">
        <v>47423</v>
      </c>
      <c r="AA67" s="64" t="s">
        <v>12</v>
      </c>
      <c r="AB67" s="63" t="s">
        <v>3840</v>
      </c>
      <c r="AC67" s="5" t="s">
        <v>9</v>
      </c>
      <c r="AD67" s="2"/>
      <c r="AE67" s="6"/>
      <c r="AF67" s="23"/>
      <c r="AG67" s="6"/>
      <c r="AH67" s="5" t="s">
        <v>3</v>
      </c>
      <c r="AI67" s="5" t="s">
        <v>553</v>
      </c>
      <c r="AJ67" s="5" t="s">
        <v>553</v>
      </c>
      <c r="AK67" s="16" t="s">
        <v>3</v>
      </c>
      <c r="AL67" s="65" t="s">
        <v>2715</v>
      </c>
      <c r="AM67" s="31" t="s">
        <v>1631</v>
      </c>
    </row>
    <row r="68" spans="2:39" x14ac:dyDescent="0.25">
      <c r="B68" s="18" t="s">
        <v>13</v>
      </c>
      <c r="C68" s="44" t="s">
        <v>3318</v>
      </c>
      <c r="D68" s="20" t="s">
        <v>3317</v>
      </c>
      <c r="E68" s="67" t="s">
        <v>3</v>
      </c>
      <c r="F68" s="51" t="s">
        <v>3</v>
      </c>
      <c r="G68" s="37" t="s">
        <v>2715</v>
      </c>
      <c r="H68" s="68" t="s">
        <v>2715</v>
      </c>
      <c r="I68" s="62" t="s">
        <v>1157</v>
      </c>
      <c r="J68" s="61" t="s">
        <v>250</v>
      </c>
      <c r="K68" s="4">
        <v>1500000</v>
      </c>
      <c r="L68" s="39">
        <v>101.161</v>
      </c>
      <c r="M68" s="4">
        <v>1517415</v>
      </c>
      <c r="N68" s="4">
        <v>1500000</v>
      </c>
      <c r="O68" s="4">
        <v>1500000</v>
      </c>
      <c r="P68" s="4">
        <v>0</v>
      </c>
      <c r="Q68" s="4">
        <v>0</v>
      </c>
      <c r="R68" s="4">
        <v>0</v>
      </c>
      <c r="S68" s="4">
        <v>0</v>
      </c>
      <c r="T68" s="23">
        <v>1.482</v>
      </c>
      <c r="U68" s="23">
        <v>1.482</v>
      </c>
      <c r="V68" s="5" t="s">
        <v>3312</v>
      </c>
      <c r="W68" s="4">
        <v>3705</v>
      </c>
      <c r="X68" s="4">
        <v>5249</v>
      </c>
      <c r="Y68" s="10">
        <v>44036</v>
      </c>
      <c r="Z68" s="10">
        <v>47788</v>
      </c>
      <c r="AA68" s="64" t="s">
        <v>12</v>
      </c>
      <c r="AB68" s="63" t="s">
        <v>3840</v>
      </c>
      <c r="AC68" s="5" t="s">
        <v>9</v>
      </c>
      <c r="AD68" s="2"/>
      <c r="AE68" s="6"/>
      <c r="AF68" s="23"/>
      <c r="AG68" s="6"/>
      <c r="AH68" s="5" t="s">
        <v>3</v>
      </c>
      <c r="AI68" s="5" t="s">
        <v>553</v>
      </c>
      <c r="AJ68" s="5" t="s">
        <v>553</v>
      </c>
      <c r="AK68" s="16" t="s">
        <v>3</v>
      </c>
      <c r="AL68" s="65" t="s">
        <v>2715</v>
      </c>
      <c r="AM68" s="31" t="s">
        <v>1631</v>
      </c>
    </row>
    <row r="69" spans="2:39" x14ac:dyDescent="0.25">
      <c r="B69" s="18" t="s">
        <v>1349</v>
      </c>
      <c r="C69" s="44" t="s">
        <v>1350</v>
      </c>
      <c r="D69" s="20" t="s">
        <v>3317</v>
      </c>
      <c r="E69" s="67" t="s">
        <v>3</v>
      </c>
      <c r="F69" s="51" t="s">
        <v>3</v>
      </c>
      <c r="G69" s="37" t="s">
        <v>2715</v>
      </c>
      <c r="H69" s="68" t="s">
        <v>2715</v>
      </c>
      <c r="I69" s="62" t="s">
        <v>1157</v>
      </c>
      <c r="J69" s="61" t="s">
        <v>250</v>
      </c>
      <c r="K69" s="4">
        <v>1500000</v>
      </c>
      <c r="L69" s="39">
        <v>101.68300000000001</v>
      </c>
      <c r="M69" s="4">
        <v>1525245</v>
      </c>
      <c r="N69" s="4">
        <v>1500000</v>
      </c>
      <c r="O69" s="4">
        <v>1500000</v>
      </c>
      <c r="P69" s="4">
        <v>0</v>
      </c>
      <c r="Q69" s="4">
        <v>0</v>
      </c>
      <c r="R69" s="4">
        <v>0</v>
      </c>
      <c r="S69" s="4">
        <v>0</v>
      </c>
      <c r="T69" s="23">
        <v>1.6319999999999999</v>
      </c>
      <c r="U69" s="23">
        <v>1.6319999999999999</v>
      </c>
      <c r="V69" s="5" t="s">
        <v>3312</v>
      </c>
      <c r="W69" s="4">
        <v>4080</v>
      </c>
      <c r="X69" s="4">
        <v>5780</v>
      </c>
      <c r="Y69" s="10">
        <v>44036</v>
      </c>
      <c r="Z69" s="10">
        <v>48153</v>
      </c>
      <c r="AA69" s="64" t="s">
        <v>12</v>
      </c>
      <c r="AB69" s="63" t="s">
        <v>3840</v>
      </c>
      <c r="AC69" s="5" t="s">
        <v>9</v>
      </c>
      <c r="AD69" s="2"/>
      <c r="AE69" s="10">
        <v>47788</v>
      </c>
      <c r="AF69" s="23">
        <v>100</v>
      </c>
      <c r="AG69" s="6"/>
      <c r="AH69" s="5" t="s">
        <v>3</v>
      </c>
      <c r="AI69" s="5" t="s">
        <v>553</v>
      </c>
      <c r="AJ69" s="5" t="s">
        <v>553</v>
      </c>
      <c r="AK69" s="16" t="s">
        <v>3</v>
      </c>
      <c r="AL69" s="65" t="s">
        <v>2715</v>
      </c>
      <c r="AM69" s="31" t="s">
        <v>1631</v>
      </c>
    </row>
    <row r="70" spans="2:39" x14ac:dyDescent="0.25">
      <c r="B70" s="18" t="s">
        <v>2441</v>
      </c>
      <c r="C70" s="44" t="s">
        <v>902</v>
      </c>
      <c r="D70" s="20" t="s">
        <v>14</v>
      </c>
      <c r="E70" s="67" t="s">
        <v>3</v>
      </c>
      <c r="F70" s="51" t="s">
        <v>3</v>
      </c>
      <c r="G70" s="37" t="s">
        <v>3</v>
      </c>
      <c r="H70" s="68" t="s">
        <v>2715</v>
      </c>
      <c r="I70" s="62" t="s">
        <v>2218</v>
      </c>
      <c r="J70" s="61" t="s">
        <v>250</v>
      </c>
      <c r="K70" s="4">
        <v>983262</v>
      </c>
      <c r="L70" s="39">
        <v>112.47</v>
      </c>
      <c r="M70" s="4">
        <v>1124700</v>
      </c>
      <c r="N70" s="4">
        <v>1000000</v>
      </c>
      <c r="O70" s="4">
        <v>992852</v>
      </c>
      <c r="P70" s="4">
        <v>0</v>
      </c>
      <c r="Q70" s="4">
        <v>2018</v>
      </c>
      <c r="R70" s="4">
        <v>0</v>
      </c>
      <c r="S70" s="4">
        <v>0</v>
      </c>
      <c r="T70" s="23">
        <v>4.6500000000000004</v>
      </c>
      <c r="U70" s="23">
        <v>4.8940000000000001</v>
      </c>
      <c r="V70" s="5" t="s">
        <v>248</v>
      </c>
      <c r="W70" s="4">
        <v>17567</v>
      </c>
      <c r="X70" s="4">
        <v>46500</v>
      </c>
      <c r="Y70" s="10">
        <v>42277</v>
      </c>
      <c r="Z70" s="10">
        <v>46068</v>
      </c>
      <c r="AA70" s="64" t="s">
        <v>3076</v>
      </c>
      <c r="AB70" s="63" t="s">
        <v>3840</v>
      </c>
      <c r="AC70" s="5" t="s">
        <v>9</v>
      </c>
      <c r="AD70" s="2"/>
      <c r="AE70" s="6"/>
      <c r="AF70" s="23"/>
      <c r="AG70" s="6"/>
      <c r="AH70" s="5" t="s">
        <v>3</v>
      </c>
      <c r="AI70" s="5" t="s">
        <v>14</v>
      </c>
      <c r="AJ70" s="5" t="s">
        <v>3</v>
      </c>
      <c r="AK70" s="16" t="s">
        <v>3</v>
      </c>
      <c r="AL70" s="65" t="s">
        <v>3842</v>
      </c>
      <c r="AM70" s="31" t="s">
        <v>1351</v>
      </c>
    </row>
    <row r="71" spans="2:39" x14ac:dyDescent="0.25">
      <c r="B71" s="7" t="s">
        <v>2713</v>
      </c>
      <c r="C71" s="1" t="s">
        <v>2713</v>
      </c>
      <c r="D71" s="8" t="s">
        <v>2713</v>
      </c>
      <c r="E71" s="1" t="s">
        <v>2713</v>
      </c>
      <c r="F71" s="1" t="s">
        <v>2713</v>
      </c>
      <c r="G71" s="1" t="s">
        <v>2713</v>
      </c>
      <c r="H71" s="1" t="s">
        <v>2713</v>
      </c>
      <c r="I71" s="1" t="s">
        <v>2713</v>
      </c>
      <c r="J71" s="1" t="s">
        <v>2713</v>
      </c>
      <c r="K71" s="1" t="s">
        <v>2713</v>
      </c>
      <c r="L71" s="1" t="s">
        <v>2713</v>
      </c>
      <c r="M71" s="1" t="s">
        <v>2713</v>
      </c>
      <c r="N71" s="1" t="s">
        <v>2713</v>
      </c>
      <c r="O71" s="1" t="s">
        <v>2713</v>
      </c>
      <c r="P71" s="1" t="s">
        <v>2713</v>
      </c>
      <c r="Q71" s="1" t="s">
        <v>2713</v>
      </c>
      <c r="R71" s="1" t="s">
        <v>2713</v>
      </c>
      <c r="S71" s="1" t="s">
        <v>2713</v>
      </c>
      <c r="T71" s="1" t="s">
        <v>2713</v>
      </c>
      <c r="U71" s="1" t="s">
        <v>2713</v>
      </c>
      <c r="V71" s="1" t="s">
        <v>2713</v>
      </c>
      <c r="W71" s="1" t="s">
        <v>2713</v>
      </c>
      <c r="X71" s="1" t="s">
        <v>2713</v>
      </c>
      <c r="Y71" s="1" t="s">
        <v>2713</v>
      </c>
      <c r="Z71" s="1" t="s">
        <v>2713</v>
      </c>
      <c r="AA71" s="1" t="s">
        <v>2713</v>
      </c>
      <c r="AB71" s="1" t="s">
        <v>2713</v>
      </c>
      <c r="AC71" s="1" t="s">
        <v>2713</v>
      </c>
      <c r="AD71" s="1" t="s">
        <v>2713</v>
      </c>
      <c r="AE71" s="1" t="s">
        <v>2713</v>
      </c>
      <c r="AF71" s="1" t="s">
        <v>2713</v>
      </c>
      <c r="AG71" s="1" t="s">
        <v>2713</v>
      </c>
      <c r="AH71" s="1" t="s">
        <v>2713</v>
      </c>
      <c r="AI71" s="1" t="s">
        <v>2713</v>
      </c>
      <c r="AJ71" s="1" t="s">
        <v>2713</v>
      </c>
      <c r="AK71" s="1" t="s">
        <v>2713</v>
      </c>
      <c r="AL71" s="1" t="s">
        <v>2713</v>
      </c>
      <c r="AM71" s="1" t="s">
        <v>2713</v>
      </c>
    </row>
    <row r="72" spans="2:39" ht="55.2" x14ac:dyDescent="0.25">
      <c r="B72" s="21" t="s">
        <v>1352</v>
      </c>
      <c r="C72" s="19" t="s">
        <v>2222</v>
      </c>
      <c r="D72" s="17"/>
      <c r="E72" s="2"/>
      <c r="F72" s="2"/>
      <c r="G72" s="2"/>
      <c r="H72" s="2"/>
      <c r="I72" s="2"/>
      <c r="J72" s="2"/>
      <c r="K72" s="3">
        <f>SUM('GMIC_2020-Annu_SCDPT1'!SCDPT1_11BEGIN_7:'GMIC_2020-Annu_SCDPT1'!SCDPT1_11ENDIN_7)</f>
        <v>9058252</v>
      </c>
      <c r="L72" s="2"/>
      <c r="M72" s="3">
        <f>SUM('GMIC_2020-Annu_SCDPT1'!SCDPT1_11BEGIN_9:'GMIC_2020-Annu_SCDPT1'!SCDPT1_11ENDIN_9)</f>
        <v>9372686</v>
      </c>
      <c r="N72" s="3">
        <f>SUM('GMIC_2020-Annu_SCDPT1'!SCDPT1_11BEGIN_10:'GMIC_2020-Annu_SCDPT1'!SCDPT1_11ENDIN_10)</f>
        <v>9095000</v>
      </c>
      <c r="O72" s="3">
        <f>SUM('GMIC_2020-Annu_SCDPT1'!SCDPT1_11BEGIN_11:'GMIC_2020-Annu_SCDPT1'!SCDPT1_11ENDIN_11)</f>
        <v>9081741</v>
      </c>
      <c r="P72" s="3">
        <f>SUM('GMIC_2020-Annu_SCDPT1'!SCDPT1_11BEGIN_12:'GMIC_2020-Annu_SCDPT1'!SCDPT1_11ENDIN_12)</f>
        <v>0</v>
      </c>
      <c r="Q72" s="3">
        <f>SUM('GMIC_2020-Annu_SCDPT1'!SCDPT1_11BEGIN_13:'GMIC_2020-Annu_SCDPT1'!SCDPT1_11ENDIN_13)</f>
        <v>10000</v>
      </c>
      <c r="R72" s="3">
        <f>SUM('GMIC_2020-Annu_SCDPT1'!SCDPT1_11BEGIN_14:'GMIC_2020-Annu_SCDPT1'!SCDPT1_11ENDIN_14)</f>
        <v>0</v>
      </c>
      <c r="S72" s="3">
        <f>SUM('GMIC_2020-Annu_SCDPT1'!SCDPT1_11BEGIN_15:'GMIC_2020-Annu_SCDPT1'!SCDPT1_11ENDIN_15)</f>
        <v>0</v>
      </c>
      <c r="T72" s="2"/>
      <c r="U72" s="2"/>
      <c r="V72" s="2"/>
      <c r="W72" s="3">
        <f>SUM('GMIC_2020-Annu_SCDPT1'!SCDPT1_11BEGIN_19:'GMIC_2020-Annu_SCDPT1'!SCDPT1_11ENDIN_19)</f>
        <v>38876</v>
      </c>
      <c r="X72" s="3">
        <f>SUM('GMIC_2020-Annu_SCDPT1'!SCDPT1_11BEGIN_20:'GMIC_2020-Annu_SCDPT1'!SCDPT1_11ENDIN_20)</f>
        <v>91744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:39" x14ac:dyDescent="0.25">
      <c r="B73" s="7" t="s">
        <v>2713</v>
      </c>
      <c r="C73" s="1" t="s">
        <v>2713</v>
      </c>
      <c r="D73" s="8" t="s">
        <v>2713</v>
      </c>
      <c r="E73" s="1" t="s">
        <v>2713</v>
      </c>
      <c r="F73" s="1" t="s">
        <v>2713</v>
      </c>
      <c r="G73" s="1" t="s">
        <v>2713</v>
      </c>
      <c r="H73" s="1" t="s">
        <v>2713</v>
      </c>
      <c r="I73" s="1" t="s">
        <v>2713</v>
      </c>
      <c r="J73" s="1" t="s">
        <v>2713</v>
      </c>
      <c r="K73" s="1" t="s">
        <v>2713</v>
      </c>
      <c r="L73" s="1" t="s">
        <v>2713</v>
      </c>
      <c r="M73" s="1" t="s">
        <v>2713</v>
      </c>
      <c r="N73" s="1" t="s">
        <v>2713</v>
      </c>
      <c r="O73" s="1" t="s">
        <v>2713</v>
      </c>
      <c r="P73" s="1" t="s">
        <v>2713</v>
      </c>
      <c r="Q73" s="1" t="s">
        <v>2713</v>
      </c>
      <c r="R73" s="1" t="s">
        <v>2713</v>
      </c>
      <c r="S73" s="1" t="s">
        <v>2713</v>
      </c>
      <c r="T73" s="1" t="s">
        <v>2713</v>
      </c>
      <c r="U73" s="1" t="s">
        <v>2713</v>
      </c>
      <c r="V73" s="1" t="s">
        <v>2713</v>
      </c>
      <c r="W73" s="1" t="s">
        <v>2713</v>
      </c>
      <c r="X73" s="1" t="s">
        <v>2713</v>
      </c>
      <c r="Y73" s="1" t="s">
        <v>2713</v>
      </c>
      <c r="Z73" s="1" t="s">
        <v>2713</v>
      </c>
      <c r="AA73" s="1" t="s">
        <v>2713</v>
      </c>
      <c r="AB73" s="1" t="s">
        <v>2713</v>
      </c>
      <c r="AC73" s="1" t="s">
        <v>2713</v>
      </c>
      <c r="AD73" s="1" t="s">
        <v>2713</v>
      </c>
      <c r="AE73" s="1" t="s">
        <v>2713</v>
      </c>
      <c r="AF73" s="1" t="s">
        <v>2713</v>
      </c>
      <c r="AG73" s="1" t="s">
        <v>2713</v>
      </c>
      <c r="AH73" s="1" t="s">
        <v>2713</v>
      </c>
      <c r="AI73" s="1" t="s">
        <v>2713</v>
      </c>
      <c r="AJ73" s="1" t="s">
        <v>2713</v>
      </c>
      <c r="AK73" s="1" t="s">
        <v>2713</v>
      </c>
      <c r="AL73" s="1" t="s">
        <v>2713</v>
      </c>
      <c r="AM73" s="1" t="s">
        <v>2713</v>
      </c>
    </row>
    <row r="74" spans="2:39" x14ac:dyDescent="0.25">
      <c r="B74" s="18" t="s">
        <v>3535</v>
      </c>
      <c r="C74" s="25" t="s">
        <v>3846</v>
      </c>
      <c r="D74" s="20" t="s">
        <v>3</v>
      </c>
      <c r="E74" s="38" t="s">
        <v>3</v>
      </c>
      <c r="F74" s="22" t="s">
        <v>3</v>
      </c>
      <c r="G74" s="37" t="s">
        <v>3</v>
      </c>
      <c r="H74" s="33" t="s">
        <v>3</v>
      </c>
      <c r="I74" s="34" t="s">
        <v>3</v>
      </c>
      <c r="J74" s="36" t="s">
        <v>3</v>
      </c>
      <c r="K74" s="4"/>
      <c r="L74" s="39"/>
      <c r="M74" s="4"/>
      <c r="N74" s="4"/>
      <c r="O74" s="4"/>
      <c r="P74" s="4"/>
      <c r="Q74" s="4"/>
      <c r="R74" s="4"/>
      <c r="S74" s="4"/>
      <c r="T74" s="23"/>
      <c r="U74" s="23"/>
      <c r="V74" s="5" t="s">
        <v>3</v>
      </c>
      <c r="W74" s="4"/>
      <c r="X74" s="4"/>
      <c r="Y74" s="6"/>
      <c r="Z74" s="6"/>
      <c r="AA74" s="42" t="s">
        <v>3</v>
      </c>
      <c r="AB74" s="29" t="s">
        <v>3</v>
      </c>
      <c r="AC74" s="5" t="s">
        <v>3</v>
      </c>
      <c r="AD74" s="2"/>
      <c r="AE74" s="6"/>
      <c r="AF74" s="23"/>
      <c r="AG74" s="6"/>
      <c r="AH74" s="5" t="s">
        <v>3</v>
      </c>
      <c r="AI74" s="5" t="s">
        <v>3</v>
      </c>
      <c r="AJ74" s="5" t="s">
        <v>3</v>
      </c>
      <c r="AK74" s="16" t="s">
        <v>3</v>
      </c>
      <c r="AL74" s="40" t="s">
        <v>3</v>
      </c>
      <c r="AM74" s="31" t="s">
        <v>3</v>
      </c>
    </row>
    <row r="75" spans="2:39" x14ac:dyDescent="0.25">
      <c r="B75" s="7" t="s">
        <v>2713</v>
      </c>
      <c r="C75" s="1" t="s">
        <v>2713</v>
      </c>
      <c r="D75" s="8" t="s">
        <v>2713</v>
      </c>
      <c r="E75" s="1" t="s">
        <v>2713</v>
      </c>
      <c r="F75" s="1" t="s">
        <v>2713</v>
      </c>
      <c r="G75" s="1" t="s">
        <v>2713</v>
      </c>
      <c r="H75" s="1" t="s">
        <v>2713</v>
      </c>
      <c r="I75" s="1" t="s">
        <v>2713</v>
      </c>
      <c r="J75" s="1" t="s">
        <v>2713</v>
      </c>
      <c r="K75" s="1" t="s">
        <v>2713</v>
      </c>
      <c r="L75" s="1" t="s">
        <v>2713</v>
      </c>
      <c r="M75" s="1" t="s">
        <v>2713</v>
      </c>
      <c r="N75" s="1" t="s">
        <v>2713</v>
      </c>
      <c r="O75" s="1" t="s">
        <v>2713</v>
      </c>
      <c r="P75" s="1" t="s">
        <v>2713</v>
      </c>
      <c r="Q75" s="1" t="s">
        <v>2713</v>
      </c>
      <c r="R75" s="1" t="s">
        <v>2713</v>
      </c>
      <c r="S75" s="1" t="s">
        <v>2713</v>
      </c>
      <c r="T75" s="1" t="s">
        <v>2713</v>
      </c>
      <c r="U75" s="1" t="s">
        <v>2713</v>
      </c>
      <c r="V75" s="1" t="s">
        <v>2713</v>
      </c>
      <c r="W75" s="1" t="s">
        <v>2713</v>
      </c>
      <c r="X75" s="1" t="s">
        <v>2713</v>
      </c>
      <c r="Y75" s="1" t="s">
        <v>2713</v>
      </c>
      <c r="Z75" s="1" t="s">
        <v>2713</v>
      </c>
      <c r="AA75" s="1" t="s">
        <v>2713</v>
      </c>
      <c r="AB75" s="1" t="s">
        <v>2713</v>
      </c>
      <c r="AC75" s="1" t="s">
        <v>2713</v>
      </c>
      <c r="AD75" s="1" t="s">
        <v>2713</v>
      </c>
      <c r="AE75" s="1" t="s">
        <v>2713</v>
      </c>
      <c r="AF75" s="1" t="s">
        <v>2713</v>
      </c>
      <c r="AG75" s="1" t="s">
        <v>2713</v>
      </c>
      <c r="AH75" s="1" t="s">
        <v>2713</v>
      </c>
      <c r="AI75" s="1" t="s">
        <v>2713</v>
      </c>
      <c r="AJ75" s="1" t="s">
        <v>2713</v>
      </c>
      <c r="AK75" s="1" t="s">
        <v>2713</v>
      </c>
      <c r="AL75" s="1" t="s">
        <v>2713</v>
      </c>
      <c r="AM75" s="1" t="s">
        <v>2713</v>
      </c>
    </row>
    <row r="76" spans="2:39" ht="55.2" x14ac:dyDescent="0.25">
      <c r="B76" s="21" t="s">
        <v>554</v>
      </c>
      <c r="C76" s="19" t="s">
        <v>1353</v>
      </c>
      <c r="D76" s="17"/>
      <c r="E76" s="2"/>
      <c r="F76" s="2"/>
      <c r="G76" s="2"/>
      <c r="H76" s="2"/>
      <c r="I76" s="2"/>
      <c r="J76" s="2"/>
      <c r="K76" s="3">
        <f>SUM('GMIC_2020-Annu_SCDPT1'!SCDPT1_12BEGIN_7:'GMIC_2020-Annu_SCDPT1'!SCDPT1_12ENDIN_7)</f>
        <v>0</v>
      </c>
      <c r="L76" s="2"/>
      <c r="M76" s="3">
        <f>SUM('GMIC_2020-Annu_SCDPT1'!SCDPT1_12BEGIN_9:'GMIC_2020-Annu_SCDPT1'!SCDPT1_12ENDIN_9)</f>
        <v>0</v>
      </c>
      <c r="N76" s="3">
        <f>SUM('GMIC_2020-Annu_SCDPT1'!SCDPT1_12BEGIN_10:'GMIC_2020-Annu_SCDPT1'!SCDPT1_12ENDIN_10)</f>
        <v>0</v>
      </c>
      <c r="O76" s="3">
        <f>SUM('GMIC_2020-Annu_SCDPT1'!SCDPT1_12BEGIN_11:'GMIC_2020-Annu_SCDPT1'!SCDPT1_12ENDIN_11)</f>
        <v>0</v>
      </c>
      <c r="P76" s="3">
        <f>SUM('GMIC_2020-Annu_SCDPT1'!SCDPT1_12BEGIN_12:'GMIC_2020-Annu_SCDPT1'!SCDPT1_12ENDIN_12)</f>
        <v>0</v>
      </c>
      <c r="Q76" s="3">
        <f>SUM('GMIC_2020-Annu_SCDPT1'!SCDPT1_12BEGIN_13:'GMIC_2020-Annu_SCDPT1'!SCDPT1_12ENDIN_13)</f>
        <v>0</v>
      </c>
      <c r="R76" s="3">
        <f>SUM('GMIC_2020-Annu_SCDPT1'!SCDPT1_12BEGIN_14:'GMIC_2020-Annu_SCDPT1'!SCDPT1_12ENDIN_14)</f>
        <v>0</v>
      </c>
      <c r="S76" s="3">
        <f>SUM('GMIC_2020-Annu_SCDPT1'!SCDPT1_12BEGIN_15:'GMIC_2020-Annu_SCDPT1'!SCDPT1_12ENDIN_15)</f>
        <v>0</v>
      </c>
      <c r="T76" s="2"/>
      <c r="U76" s="2"/>
      <c r="V76" s="2"/>
      <c r="W76" s="3">
        <f>SUM('GMIC_2020-Annu_SCDPT1'!SCDPT1_12BEGIN_19:'GMIC_2020-Annu_SCDPT1'!SCDPT1_12ENDIN_19)</f>
        <v>0</v>
      </c>
      <c r="X76" s="3">
        <f>SUM('GMIC_2020-Annu_SCDPT1'!SCDPT1_12BEGIN_20:'GMIC_2020-Annu_SCDPT1'!SCDPT1_12ENDIN_20)</f>
        <v>0</v>
      </c>
      <c r="Y76" s="27"/>
      <c r="Z76" s="27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2:39" x14ac:dyDescent="0.25">
      <c r="B77" s="7" t="s">
        <v>2713</v>
      </c>
      <c r="C77" s="1" t="s">
        <v>2713</v>
      </c>
      <c r="D77" s="8" t="s">
        <v>2713</v>
      </c>
      <c r="E77" s="1" t="s">
        <v>2713</v>
      </c>
      <c r="F77" s="1" t="s">
        <v>2713</v>
      </c>
      <c r="G77" s="1" t="s">
        <v>2713</v>
      </c>
      <c r="H77" s="1" t="s">
        <v>2713</v>
      </c>
      <c r="I77" s="1" t="s">
        <v>2713</v>
      </c>
      <c r="J77" s="1" t="s">
        <v>2713</v>
      </c>
      <c r="K77" s="1" t="s">
        <v>2713</v>
      </c>
      <c r="L77" s="1" t="s">
        <v>2713</v>
      </c>
      <c r="M77" s="1" t="s">
        <v>2713</v>
      </c>
      <c r="N77" s="1" t="s">
        <v>2713</v>
      </c>
      <c r="O77" s="1" t="s">
        <v>2713</v>
      </c>
      <c r="P77" s="1" t="s">
        <v>2713</v>
      </c>
      <c r="Q77" s="1" t="s">
        <v>2713</v>
      </c>
      <c r="R77" s="1" t="s">
        <v>2713</v>
      </c>
      <c r="S77" s="1" t="s">
        <v>2713</v>
      </c>
      <c r="T77" s="1" t="s">
        <v>2713</v>
      </c>
      <c r="U77" s="1" t="s">
        <v>2713</v>
      </c>
      <c r="V77" s="1" t="s">
        <v>2713</v>
      </c>
      <c r="W77" s="1" t="s">
        <v>2713</v>
      </c>
      <c r="X77" s="1" t="s">
        <v>2713</v>
      </c>
      <c r="Y77" s="15" t="s">
        <v>2713</v>
      </c>
      <c r="Z77" s="15" t="s">
        <v>2713</v>
      </c>
      <c r="AA77" s="1" t="s">
        <v>2713</v>
      </c>
      <c r="AB77" s="1" t="s">
        <v>2713</v>
      </c>
      <c r="AC77" s="1" t="s">
        <v>2713</v>
      </c>
      <c r="AD77" s="1" t="s">
        <v>2713</v>
      </c>
      <c r="AE77" s="1" t="s">
        <v>2713</v>
      </c>
      <c r="AF77" s="1" t="s">
        <v>2713</v>
      </c>
      <c r="AG77" s="1" t="s">
        <v>2713</v>
      </c>
      <c r="AH77" s="1" t="s">
        <v>2713</v>
      </c>
      <c r="AI77" s="1" t="s">
        <v>2713</v>
      </c>
      <c r="AJ77" s="1" t="s">
        <v>2713</v>
      </c>
      <c r="AK77" s="1" t="s">
        <v>2713</v>
      </c>
      <c r="AL77" s="1" t="s">
        <v>2713</v>
      </c>
      <c r="AM77" s="1" t="s">
        <v>2713</v>
      </c>
    </row>
    <row r="78" spans="2:39" x14ac:dyDescent="0.25">
      <c r="B78" s="18" t="s">
        <v>3077</v>
      </c>
      <c r="C78" s="25" t="s">
        <v>3846</v>
      </c>
      <c r="D78" s="20" t="s">
        <v>3</v>
      </c>
      <c r="E78" s="38" t="s">
        <v>3</v>
      </c>
      <c r="F78" s="22" t="s">
        <v>3</v>
      </c>
      <c r="G78" s="37" t="s">
        <v>3</v>
      </c>
      <c r="H78" s="33" t="s">
        <v>3</v>
      </c>
      <c r="I78" s="34" t="s">
        <v>3</v>
      </c>
      <c r="J78" s="36" t="s">
        <v>3</v>
      </c>
      <c r="K78" s="4"/>
      <c r="L78" s="39"/>
      <c r="M78" s="4"/>
      <c r="N78" s="4"/>
      <c r="O78" s="4"/>
      <c r="P78" s="4"/>
      <c r="Q78" s="4"/>
      <c r="R78" s="4"/>
      <c r="S78" s="4"/>
      <c r="T78" s="23"/>
      <c r="U78" s="23"/>
      <c r="V78" s="5" t="s">
        <v>3</v>
      </c>
      <c r="W78" s="4"/>
      <c r="X78" s="4"/>
      <c r="Y78" s="9"/>
      <c r="Z78" s="9"/>
      <c r="AA78" s="42" t="s">
        <v>3</v>
      </c>
      <c r="AB78" s="29" t="s">
        <v>3</v>
      </c>
      <c r="AC78" s="5" t="s">
        <v>3</v>
      </c>
      <c r="AD78" s="2"/>
      <c r="AE78" s="6"/>
      <c r="AF78" s="23"/>
      <c r="AG78" s="6"/>
      <c r="AH78" s="5" t="s">
        <v>3</v>
      </c>
      <c r="AI78" s="5" t="s">
        <v>3</v>
      </c>
      <c r="AJ78" s="5" t="s">
        <v>3</v>
      </c>
      <c r="AK78" s="16" t="s">
        <v>3</v>
      </c>
      <c r="AL78" s="40" t="s">
        <v>3</v>
      </c>
      <c r="AM78" s="31" t="s">
        <v>3</v>
      </c>
    </row>
    <row r="79" spans="2:39" x14ac:dyDescent="0.25">
      <c r="B79" s="7" t="s">
        <v>2713</v>
      </c>
      <c r="C79" s="1" t="s">
        <v>2713</v>
      </c>
      <c r="D79" s="8" t="s">
        <v>2713</v>
      </c>
      <c r="E79" s="1" t="s">
        <v>2713</v>
      </c>
      <c r="F79" s="1" t="s">
        <v>2713</v>
      </c>
      <c r="G79" s="1" t="s">
        <v>2713</v>
      </c>
      <c r="H79" s="1" t="s">
        <v>2713</v>
      </c>
      <c r="I79" s="1" t="s">
        <v>2713</v>
      </c>
      <c r="J79" s="1" t="s">
        <v>2713</v>
      </c>
      <c r="K79" s="1" t="s">
        <v>2713</v>
      </c>
      <c r="L79" s="1" t="s">
        <v>2713</v>
      </c>
      <c r="M79" s="1" t="s">
        <v>2713</v>
      </c>
      <c r="N79" s="1" t="s">
        <v>2713</v>
      </c>
      <c r="O79" s="1" t="s">
        <v>2713</v>
      </c>
      <c r="P79" s="1" t="s">
        <v>2713</v>
      </c>
      <c r="Q79" s="1" t="s">
        <v>2713</v>
      </c>
      <c r="R79" s="1" t="s">
        <v>2713</v>
      </c>
      <c r="S79" s="1" t="s">
        <v>2713</v>
      </c>
      <c r="T79" s="1" t="s">
        <v>2713</v>
      </c>
      <c r="U79" s="1" t="s">
        <v>2713</v>
      </c>
      <c r="V79" s="1" t="s">
        <v>2713</v>
      </c>
      <c r="W79" s="1" t="s">
        <v>2713</v>
      </c>
      <c r="X79" s="1" t="s">
        <v>2713</v>
      </c>
      <c r="Y79" s="15" t="s">
        <v>2713</v>
      </c>
      <c r="Z79" s="15" t="s">
        <v>2713</v>
      </c>
      <c r="AA79" s="1" t="s">
        <v>2713</v>
      </c>
      <c r="AB79" s="1" t="s">
        <v>2713</v>
      </c>
      <c r="AC79" s="1" t="s">
        <v>2713</v>
      </c>
      <c r="AD79" s="1" t="s">
        <v>2713</v>
      </c>
      <c r="AE79" s="1" t="s">
        <v>2713</v>
      </c>
      <c r="AF79" s="1" t="s">
        <v>2713</v>
      </c>
      <c r="AG79" s="1" t="s">
        <v>2713</v>
      </c>
      <c r="AH79" s="1" t="s">
        <v>2713</v>
      </c>
      <c r="AI79" s="1" t="s">
        <v>2713</v>
      </c>
      <c r="AJ79" s="1" t="s">
        <v>2713</v>
      </c>
      <c r="AK79" s="1" t="s">
        <v>2713</v>
      </c>
      <c r="AL79" s="1" t="s">
        <v>2713</v>
      </c>
      <c r="AM79" s="1" t="s">
        <v>2713</v>
      </c>
    </row>
    <row r="80" spans="2:39" ht="55.2" x14ac:dyDescent="0.25">
      <c r="B80" s="21" t="s">
        <v>15</v>
      </c>
      <c r="C80" s="19" t="s">
        <v>555</v>
      </c>
      <c r="D80" s="17"/>
      <c r="E80" s="2"/>
      <c r="F80" s="2"/>
      <c r="G80" s="2"/>
      <c r="H80" s="2"/>
      <c r="I80" s="2"/>
      <c r="J80" s="2"/>
      <c r="K80" s="3">
        <f>SUM('GMIC_2020-Annu_SCDPT1'!SCDPT1_13BEGIN_7:'GMIC_2020-Annu_SCDPT1'!SCDPT1_13ENDIN_7)</f>
        <v>0</v>
      </c>
      <c r="L80" s="2"/>
      <c r="M80" s="3">
        <f>SUM('GMIC_2020-Annu_SCDPT1'!SCDPT1_13BEGIN_9:'GMIC_2020-Annu_SCDPT1'!SCDPT1_13ENDIN_9)</f>
        <v>0</v>
      </c>
      <c r="N80" s="3">
        <f>SUM('GMIC_2020-Annu_SCDPT1'!SCDPT1_13BEGIN_10:'GMIC_2020-Annu_SCDPT1'!SCDPT1_13ENDIN_10)</f>
        <v>0</v>
      </c>
      <c r="O80" s="3">
        <f>SUM('GMIC_2020-Annu_SCDPT1'!SCDPT1_13BEGIN_11:'GMIC_2020-Annu_SCDPT1'!SCDPT1_13ENDIN_11)</f>
        <v>0</v>
      </c>
      <c r="P80" s="3">
        <f>SUM('GMIC_2020-Annu_SCDPT1'!SCDPT1_13BEGIN_12:'GMIC_2020-Annu_SCDPT1'!SCDPT1_13ENDIN_12)</f>
        <v>0</v>
      </c>
      <c r="Q80" s="3">
        <f>SUM('GMIC_2020-Annu_SCDPT1'!SCDPT1_13BEGIN_13:'GMIC_2020-Annu_SCDPT1'!SCDPT1_13ENDIN_13)</f>
        <v>0</v>
      </c>
      <c r="R80" s="3">
        <f>SUM('GMIC_2020-Annu_SCDPT1'!SCDPT1_13BEGIN_14:'GMIC_2020-Annu_SCDPT1'!SCDPT1_13ENDIN_14)</f>
        <v>0</v>
      </c>
      <c r="S80" s="3">
        <f>SUM('GMIC_2020-Annu_SCDPT1'!SCDPT1_13BEGIN_15:'GMIC_2020-Annu_SCDPT1'!SCDPT1_13ENDIN_15)</f>
        <v>0</v>
      </c>
      <c r="T80" s="2"/>
      <c r="U80" s="2"/>
      <c r="V80" s="2"/>
      <c r="W80" s="3">
        <f>SUM('GMIC_2020-Annu_SCDPT1'!SCDPT1_13BEGIN_19:'GMIC_2020-Annu_SCDPT1'!SCDPT1_13ENDIN_19)</f>
        <v>0</v>
      </c>
      <c r="X80" s="3">
        <f>SUM('GMIC_2020-Annu_SCDPT1'!SCDPT1_13BEGIN_20:'GMIC_2020-Annu_SCDPT1'!SCDPT1_13ENDIN_20)</f>
        <v>0</v>
      </c>
      <c r="Y80" s="27"/>
      <c r="Z80" s="27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2:39" x14ac:dyDescent="0.25">
      <c r="B81" s="7" t="s">
        <v>2713</v>
      </c>
      <c r="C81" s="1" t="s">
        <v>2713</v>
      </c>
      <c r="D81" s="8" t="s">
        <v>2713</v>
      </c>
      <c r="E81" s="1" t="s">
        <v>2713</v>
      </c>
      <c r="F81" s="1" t="s">
        <v>2713</v>
      </c>
      <c r="G81" s="1" t="s">
        <v>2713</v>
      </c>
      <c r="H81" s="1" t="s">
        <v>2713</v>
      </c>
      <c r="I81" s="1" t="s">
        <v>2713</v>
      </c>
      <c r="J81" s="1" t="s">
        <v>2713</v>
      </c>
      <c r="K81" s="1" t="s">
        <v>2713</v>
      </c>
      <c r="L81" s="1" t="s">
        <v>2713</v>
      </c>
      <c r="M81" s="1" t="s">
        <v>2713</v>
      </c>
      <c r="N81" s="1" t="s">
        <v>2713</v>
      </c>
      <c r="O81" s="1" t="s">
        <v>2713</v>
      </c>
      <c r="P81" s="1" t="s">
        <v>2713</v>
      </c>
      <c r="Q81" s="1" t="s">
        <v>2713</v>
      </c>
      <c r="R81" s="1" t="s">
        <v>2713</v>
      </c>
      <c r="S81" s="1" t="s">
        <v>2713</v>
      </c>
      <c r="T81" s="1" t="s">
        <v>2713</v>
      </c>
      <c r="U81" s="1" t="s">
        <v>2713</v>
      </c>
      <c r="V81" s="1" t="s">
        <v>2713</v>
      </c>
      <c r="W81" s="1" t="s">
        <v>2713</v>
      </c>
      <c r="X81" s="1" t="s">
        <v>2713</v>
      </c>
      <c r="Y81" s="15" t="s">
        <v>2713</v>
      </c>
      <c r="Z81" s="15" t="s">
        <v>2713</v>
      </c>
      <c r="AA81" s="1" t="s">
        <v>2713</v>
      </c>
      <c r="AB81" s="1" t="s">
        <v>2713</v>
      </c>
      <c r="AC81" s="1" t="s">
        <v>2713</v>
      </c>
      <c r="AD81" s="1" t="s">
        <v>2713</v>
      </c>
      <c r="AE81" s="1" t="s">
        <v>2713</v>
      </c>
      <c r="AF81" s="1" t="s">
        <v>2713</v>
      </c>
      <c r="AG81" s="1" t="s">
        <v>2713</v>
      </c>
      <c r="AH81" s="1" t="s">
        <v>2713</v>
      </c>
      <c r="AI81" s="1" t="s">
        <v>2713</v>
      </c>
      <c r="AJ81" s="1" t="s">
        <v>2713</v>
      </c>
      <c r="AK81" s="1" t="s">
        <v>2713</v>
      </c>
      <c r="AL81" s="1" t="s">
        <v>2713</v>
      </c>
      <c r="AM81" s="1" t="s">
        <v>2713</v>
      </c>
    </row>
    <row r="82" spans="2:39" x14ac:dyDescent="0.25">
      <c r="B82" s="18" t="s">
        <v>2223</v>
      </c>
      <c r="C82" s="25" t="s">
        <v>3846</v>
      </c>
      <c r="D82" s="20" t="s">
        <v>3</v>
      </c>
      <c r="E82" s="38" t="s">
        <v>3</v>
      </c>
      <c r="F82" s="22" t="s">
        <v>3</v>
      </c>
      <c r="G82" s="37" t="s">
        <v>3</v>
      </c>
      <c r="H82" s="33" t="s">
        <v>3</v>
      </c>
      <c r="I82" s="34" t="s">
        <v>3</v>
      </c>
      <c r="J82" s="36" t="s">
        <v>3</v>
      </c>
      <c r="K82" s="4"/>
      <c r="L82" s="39"/>
      <c r="M82" s="4"/>
      <c r="N82" s="4"/>
      <c r="O82" s="4"/>
      <c r="P82" s="4"/>
      <c r="Q82" s="4"/>
      <c r="R82" s="4"/>
      <c r="S82" s="4"/>
      <c r="T82" s="23"/>
      <c r="U82" s="23"/>
      <c r="V82" s="5" t="s">
        <v>3</v>
      </c>
      <c r="W82" s="4"/>
      <c r="X82" s="4"/>
      <c r="Y82" s="9"/>
      <c r="Z82" s="9"/>
      <c r="AA82" s="42" t="s">
        <v>3</v>
      </c>
      <c r="AB82" s="29" t="s">
        <v>3</v>
      </c>
      <c r="AC82" s="5" t="s">
        <v>3</v>
      </c>
      <c r="AD82" s="2"/>
      <c r="AE82" s="6"/>
      <c r="AF82" s="23"/>
      <c r="AG82" s="6"/>
      <c r="AH82" s="5" t="s">
        <v>3</v>
      </c>
      <c r="AI82" s="5" t="s">
        <v>3</v>
      </c>
      <c r="AJ82" s="5" t="s">
        <v>3</v>
      </c>
      <c r="AK82" s="16" t="s">
        <v>3</v>
      </c>
      <c r="AL82" s="40" t="s">
        <v>3</v>
      </c>
      <c r="AM82" s="31" t="s">
        <v>3</v>
      </c>
    </row>
    <row r="83" spans="2:39" x14ac:dyDescent="0.25">
      <c r="B83" s="7" t="s">
        <v>2713</v>
      </c>
      <c r="C83" s="1" t="s">
        <v>2713</v>
      </c>
      <c r="D83" s="8" t="s">
        <v>2713</v>
      </c>
      <c r="E83" s="1" t="s">
        <v>2713</v>
      </c>
      <c r="F83" s="1" t="s">
        <v>2713</v>
      </c>
      <c r="G83" s="1" t="s">
        <v>2713</v>
      </c>
      <c r="H83" s="1" t="s">
        <v>2713</v>
      </c>
      <c r="I83" s="1" t="s">
        <v>2713</v>
      </c>
      <c r="J83" s="1" t="s">
        <v>2713</v>
      </c>
      <c r="K83" s="1" t="s">
        <v>2713</v>
      </c>
      <c r="L83" s="1" t="s">
        <v>2713</v>
      </c>
      <c r="M83" s="1" t="s">
        <v>2713</v>
      </c>
      <c r="N83" s="1" t="s">
        <v>2713</v>
      </c>
      <c r="O83" s="1" t="s">
        <v>2713</v>
      </c>
      <c r="P83" s="1" t="s">
        <v>2713</v>
      </c>
      <c r="Q83" s="1" t="s">
        <v>2713</v>
      </c>
      <c r="R83" s="1" t="s">
        <v>2713</v>
      </c>
      <c r="S83" s="1" t="s">
        <v>2713</v>
      </c>
      <c r="T83" s="1" t="s">
        <v>2713</v>
      </c>
      <c r="U83" s="1" t="s">
        <v>2713</v>
      </c>
      <c r="V83" s="1" t="s">
        <v>2713</v>
      </c>
      <c r="W83" s="1" t="s">
        <v>2713</v>
      </c>
      <c r="X83" s="1" t="s">
        <v>2713</v>
      </c>
      <c r="Y83" s="15" t="s">
        <v>2713</v>
      </c>
      <c r="Z83" s="15" t="s">
        <v>2713</v>
      </c>
      <c r="AA83" s="1" t="s">
        <v>2713</v>
      </c>
      <c r="AB83" s="1" t="s">
        <v>2713</v>
      </c>
      <c r="AC83" s="1" t="s">
        <v>2713</v>
      </c>
      <c r="AD83" s="1" t="s">
        <v>2713</v>
      </c>
      <c r="AE83" s="1" t="s">
        <v>2713</v>
      </c>
      <c r="AF83" s="1" t="s">
        <v>2713</v>
      </c>
      <c r="AG83" s="1" t="s">
        <v>2713</v>
      </c>
      <c r="AH83" s="1" t="s">
        <v>2713</v>
      </c>
      <c r="AI83" s="1" t="s">
        <v>2713</v>
      </c>
      <c r="AJ83" s="1" t="s">
        <v>2713</v>
      </c>
      <c r="AK83" s="1" t="s">
        <v>2713</v>
      </c>
      <c r="AL83" s="1" t="s">
        <v>2713</v>
      </c>
      <c r="AM83" s="1" t="s">
        <v>2713</v>
      </c>
    </row>
    <row r="84" spans="2:39" ht="69" x14ac:dyDescent="0.25">
      <c r="B84" s="21" t="s">
        <v>3536</v>
      </c>
      <c r="C84" s="19" t="s">
        <v>4206</v>
      </c>
      <c r="D84" s="17"/>
      <c r="E84" s="2"/>
      <c r="F84" s="2"/>
      <c r="G84" s="2"/>
      <c r="H84" s="2"/>
      <c r="I84" s="2"/>
      <c r="J84" s="2"/>
      <c r="K84" s="3">
        <f>SUM('GMIC_2020-Annu_SCDPT1'!SCDPT1_14BEGIN_7:'GMIC_2020-Annu_SCDPT1'!SCDPT1_14ENDIN_7)</f>
        <v>0</v>
      </c>
      <c r="L84" s="2"/>
      <c r="M84" s="3">
        <f>SUM('GMIC_2020-Annu_SCDPT1'!SCDPT1_14BEGIN_9:'GMIC_2020-Annu_SCDPT1'!SCDPT1_14ENDIN_9)</f>
        <v>0</v>
      </c>
      <c r="N84" s="3">
        <f>SUM('GMIC_2020-Annu_SCDPT1'!SCDPT1_14BEGIN_10:'GMIC_2020-Annu_SCDPT1'!SCDPT1_14ENDIN_10)</f>
        <v>0</v>
      </c>
      <c r="O84" s="3">
        <f>SUM('GMIC_2020-Annu_SCDPT1'!SCDPT1_14BEGIN_11:'GMIC_2020-Annu_SCDPT1'!SCDPT1_14ENDIN_11)</f>
        <v>0</v>
      </c>
      <c r="P84" s="3">
        <f>SUM('GMIC_2020-Annu_SCDPT1'!SCDPT1_14BEGIN_12:'GMIC_2020-Annu_SCDPT1'!SCDPT1_14ENDIN_12)</f>
        <v>0</v>
      </c>
      <c r="Q84" s="3">
        <f>SUM('GMIC_2020-Annu_SCDPT1'!SCDPT1_14BEGIN_13:'GMIC_2020-Annu_SCDPT1'!SCDPT1_14ENDIN_13)</f>
        <v>0</v>
      </c>
      <c r="R84" s="3">
        <f>SUM('GMIC_2020-Annu_SCDPT1'!SCDPT1_14BEGIN_14:'GMIC_2020-Annu_SCDPT1'!SCDPT1_14ENDIN_14)</f>
        <v>0</v>
      </c>
      <c r="S84" s="3">
        <f>SUM('GMIC_2020-Annu_SCDPT1'!SCDPT1_14BEGIN_15:'GMIC_2020-Annu_SCDPT1'!SCDPT1_14ENDIN_15)</f>
        <v>0</v>
      </c>
      <c r="T84" s="2"/>
      <c r="U84" s="2"/>
      <c r="V84" s="2"/>
      <c r="W84" s="3">
        <f>SUM('GMIC_2020-Annu_SCDPT1'!SCDPT1_14BEGIN_19:'GMIC_2020-Annu_SCDPT1'!SCDPT1_14ENDIN_19)</f>
        <v>0</v>
      </c>
      <c r="X84" s="3">
        <f>SUM('GMIC_2020-Annu_SCDPT1'!SCDPT1_14BEGIN_20:'GMIC_2020-Annu_SCDPT1'!SCDPT1_14ENDIN_20)</f>
        <v>0</v>
      </c>
      <c r="Y84" s="27"/>
      <c r="Z84" s="27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2:39" ht="27.6" x14ac:dyDescent="0.25">
      <c r="B85" s="21" t="s">
        <v>1354</v>
      </c>
      <c r="C85" s="19" t="s">
        <v>3537</v>
      </c>
      <c r="D85" s="17"/>
      <c r="E85" s="2"/>
      <c r="F85" s="2"/>
      <c r="G85" s="2"/>
      <c r="H85" s="2"/>
      <c r="I85" s="2"/>
      <c r="J85" s="2"/>
      <c r="K85" s="3">
        <f>'GMIC_2020-Annu_SCDPT1'!SCDPT1_1199999_7+'GMIC_2020-Annu_SCDPT1'!SCDPT1_1299999_7+'GMIC_2020-Annu_SCDPT1'!SCDPT1_1399999_7+'GMIC_2020-Annu_SCDPT1'!SCDPT1_1499999_7</f>
        <v>9058252</v>
      </c>
      <c r="L85" s="2"/>
      <c r="M85" s="3">
        <f>'GMIC_2020-Annu_SCDPT1'!SCDPT1_1199999_9+'GMIC_2020-Annu_SCDPT1'!SCDPT1_1299999_9+'GMIC_2020-Annu_SCDPT1'!SCDPT1_1399999_9+'GMIC_2020-Annu_SCDPT1'!SCDPT1_1499999_9</f>
        <v>9372686</v>
      </c>
      <c r="N85" s="3">
        <f>'GMIC_2020-Annu_SCDPT1'!SCDPT1_1199999_10+'GMIC_2020-Annu_SCDPT1'!SCDPT1_1299999_10+'GMIC_2020-Annu_SCDPT1'!SCDPT1_1399999_10+'GMIC_2020-Annu_SCDPT1'!SCDPT1_1499999_10</f>
        <v>9095000</v>
      </c>
      <c r="O85" s="3">
        <f>'GMIC_2020-Annu_SCDPT1'!SCDPT1_1199999_11+'GMIC_2020-Annu_SCDPT1'!SCDPT1_1299999_11+'GMIC_2020-Annu_SCDPT1'!SCDPT1_1399999_11+'GMIC_2020-Annu_SCDPT1'!SCDPT1_1499999_11</f>
        <v>9081741</v>
      </c>
      <c r="P85" s="3">
        <f>'GMIC_2020-Annu_SCDPT1'!SCDPT1_1199999_12+'GMIC_2020-Annu_SCDPT1'!SCDPT1_1299999_12+'GMIC_2020-Annu_SCDPT1'!SCDPT1_1399999_12+'GMIC_2020-Annu_SCDPT1'!SCDPT1_1499999_12</f>
        <v>0</v>
      </c>
      <c r="Q85" s="3">
        <f>'GMIC_2020-Annu_SCDPT1'!SCDPT1_1199999_13+'GMIC_2020-Annu_SCDPT1'!SCDPT1_1299999_13+'GMIC_2020-Annu_SCDPT1'!SCDPT1_1399999_13+'GMIC_2020-Annu_SCDPT1'!SCDPT1_1499999_13</f>
        <v>10000</v>
      </c>
      <c r="R85" s="3">
        <f>'GMIC_2020-Annu_SCDPT1'!SCDPT1_1199999_14+'GMIC_2020-Annu_SCDPT1'!SCDPT1_1299999_14+'GMIC_2020-Annu_SCDPT1'!SCDPT1_1399999_14+'GMIC_2020-Annu_SCDPT1'!SCDPT1_1499999_14</f>
        <v>0</v>
      </c>
      <c r="S85" s="3">
        <f>'GMIC_2020-Annu_SCDPT1'!SCDPT1_1199999_15+'GMIC_2020-Annu_SCDPT1'!SCDPT1_1299999_15+'GMIC_2020-Annu_SCDPT1'!SCDPT1_1399999_15+'GMIC_2020-Annu_SCDPT1'!SCDPT1_1499999_15</f>
        <v>0</v>
      </c>
      <c r="T85" s="2"/>
      <c r="U85" s="2"/>
      <c r="V85" s="2"/>
      <c r="W85" s="3">
        <f>'GMIC_2020-Annu_SCDPT1'!SCDPT1_1199999_19+'GMIC_2020-Annu_SCDPT1'!SCDPT1_1299999_19+'GMIC_2020-Annu_SCDPT1'!SCDPT1_1399999_19+'GMIC_2020-Annu_SCDPT1'!SCDPT1_1499999_19</f>
        <v>38876</v>
      </c>
      <c r="X85" s="3">
        <f>'GMIC_2020-Annu_SCDPT1'!SCDPT1_1199999_20+'GMIC_2020-Annu_SCDPT1'!SCDPT1_1299999_20+'GMIC_2020-Annu_SCDPT1'!SCDPT1_1399999_20+'GMIC_2020-Annu_SCDPT1'!SCDPT1_1499999_20</f>
        <v>91744</v>
      </c>
      <c r="Y85" s="27"/>
      <c r="Z85" s="27"/>
      <c r="AA85" s="2"/>
      <c r="AB85" s="2"/>
      <c r="AC85" s="2"/>
      <c r="AD85" s="2"/>
      <c r="AE85" s="27"/>
      <c r="AF85" s="2"/>
      <c r="AG85" s="2"/>
      <c r="AH85" s="2"/>
      <c r="AI85" s="2"/>
      <c r="AJ85" s="2"/>
      <c r="AK85" s="2"/>
      <c r="AL85" s="2"/>
      <c r="AM85" s="2"/>
    </row>
    <row r="86" spans="2:39" x14ac:dyDescent="0.25">
      <c r="B86" s="7" t="s">
        <v>2713</v>
      </c>
      <c r="C86" s="1" t="s">
        <v>2713</v>
      </c>
      <c r="D86" s="8" t="s">
        <v>2713</v>
      </c>
      <c r="E86" s="1" t="s">
        <v>2713</v>
      </c>
      <c r="F86" s="1" t="s">
        <v>2713</v>
      </c>
      <c r="G86" s="1" t="s">
        <v>2713</v>
      </c>
      <c r="H86" s="1" t="s">
        <v>2713</v>
      </c>
      <c r="I86" s="1" t="s">
        <v>2713</v>
      </c>
      <c r="J86" s="1" t="s">
        <v>2713</v>
      </c>
      <c r="K86" s="1" t="s">
        <v>2713</v>
      </c>
      <c r="L86" s="1" t="s">
        <v>2713</v>
      </c>
      <c r="M86" s="1" t="s">
        <v>2713</v>
      </c>
      <c r="N86" s="1" t="s">
        <v>2713</v>
      </c>
      <c r="O86" s="1" t="s">
        <v>2713</v>
      </c>
      <c r="P86" s="1" t="s">
        <v>2713</v>
      </c>
      <c r="Q86" s="1" t="s">
        <v>2713</v>
      </c>
      <c r="R86" s="1" t="s">
        <v>2713</v>
      </c>
      <c r="S86" s="1" t="s">
        <v>2713</v>
      </c>
      <c r="T86" s="1" t="s">
        <v>2713</v>
      </c>
      <c r="U86" s="1" t="s">
        <v>2713</v>
      </c>
      <c r="V86" s="1" t="s">
        <v>2713</v>
      </c>
      <c r="W86" s="1" t="s">
        <v>2713</v>
      </c>
      <c r="X86" s="1" t="s">
        <v>2713</v>
      </c>
      <c r="Y86" s="15" t="s">
        <v>2713</v>
      </c>
      <c r="Z86" s="15" t="s">
        <v>2713</v>
      </c>
      <c r="AA86" s="1" t="s">
        <v>2713</v>
      </c>
      <c r="AB86" s="1" t="s">
        <v>2713</v>
      </c>
      <c r="AC86" s="1" t="s">
        <v>2713</v>
      </c>
      <c r="AD86" s="1" t="s">
        <v>2713</v>
      </c>
      <c r="AE86" s="1" t="s">
        <v>2713</v>
      </c>
      <c r="AF86" s="1" t="s">
        <v>2713</v>
      </c>
      <c r="AG86" s="1" t="s">
        <v>2713</v>
      </c>
      <c r="AH86" s="1" t="s">
        <v>2713</v>
      </c>
      <c r="AI86" s="1" t="s">
        <v>2713</v>
      </c>
      <c r="AJ86" s="1" t="s">
        <v>2713</v>
      </c>
      <c r="AK86" s="1" t="s">
        <v>2713</v>
      </c>
      <c r="AL86" s="1" t="s">
        <v>2713</v>
      </c>
      <c r="AM86" s="1" t="s">
        <v>2713</v>
      </c>
    </row>
    <row r="87" spans="2:39" x14ac:dyDescent="0.25">
      <c r="B87" s="18" t="s">
        <v>254</v>
      </c>
      <c r="C87" s="44" t="s">
        <v>1634</v>
      </c>
      <c r="D87" s="20" t="s">
        <v>2442</v>
      </c>
      <c r="E87" s="38" t="s">
        <v>3</v>
      </c>
      <c r="F87" s="22" t="s">
        <v>3</v>
      </c>
      <c r="G87" s="37" t="s">
        <v>3</v>
      </c>
      <c r="H87" s="33" t="s">
        <v>2715</v>
      </c>
      <c r="I87" s="34" t="s">
        <v>2218</v>
      </c>
      <c r="J87" s="36" t="s">
        <v>250</v>
      </c>
      <c r="K87" s="4">
        <v>4500000</v>
      </c>
      <c r="L87" s="39">
        <v>104.17400000000001</v>
      </c>
      <c r="M87" s="4">
        <v>4687830</v>
      </c>
      <c r="N87" s="4">
        <v>4500000</v>
      </c>
      <c r="O87" s="4">
        <v>4500000</v>
      </c>
      <c r="P87" s="4">
        <v>0</v>
      </c>
      <c r="Q87" s="4">
        <v>0</v>
      </c>
      <c r="R87" s="4">
        <v>0</v>
      </c>
      <c r="S87" s="4">
        <v>0</v>
      </c>
      <c r="T87" s="23">
        <v>3.286</v>
      </c>
      <c r="U87" s="23">
        <v>3.286</v>
      </c>
      <c r="V87" s="5" t="s">
        <v>12</v>
      </c>
      <c r="W87" s="4">
        <v>49290</v>
      </c>
      <c r="X87" s="4">
        <v>147870</v>
      </c>
      <c r="Y87" s="11">
        <v>41964</v>
      </c>
      <c r="Z87" s="11">
        <v>44805</v>
      </c>
      <c r="AA87" s="42" t="s">
        <v>1993</v>
      </c>
      <c r="AB87" s="29" t="s">
        <v>3840</v>
      </c>
      <c r="AC87" s="5" t="s">
        <v>9</v>
      </c>
      <c r="AD87" s="2"/>
      <c r="AE87" s="6"/>
      <c r="AF87" s="23"/>
      <c r="AG87" s="6"/>
      <c r="AH87" s="5" t="s">
        <v>3</v>
      </c>
      <c r="AI87" s="5" t="s">
        <v>2442</v>
      </c>
      <c r="AJ87" s="5" t="s">
        <v>3</v>
      </c>
      <c r="AK87" s="16" t="s">
        <v>3</v>
      </c>
      <c r="AL87" s="40" t="s">
        <v>3842</v>
      </c>
      <c r="AM87" s="31" t="s">
        <v>1351</v>
      </c>
    </row>
    <row r="88" spans="2:39" x14ac:dyDescent="0.25">
      <c r="B88" s="18" t="s">
        <v>1355</v>
      </c>
      <c r="C88" s="44" t="s">
        <v>255</v>
      </c>
      <c r="D88" s="20" t="s">
        <v>3319</v>
      </c>
      <c r="E88" s="67" t="s">
        <v>2224</v>
      </c>
      <c r="F88" s="51" t="s">
        <v>3</v>
      </c>
      <c r="G88" s="37" t="s">
        <v>3</v>
      </c>
      <c r="H88" s="68" t="s">
        <v>2715</v>
      </c>
      <c r="I88" s="62" t="s">
        <v>3538</v>
      </c>
      <c r="J88" s="61" t="s">
        <v>250</v>
      </c>
      <c r="K88" s="4">
        <v>1224244</v>
      </c>
      <c r="L88" s="39">
        <v>93.751999999999995</v>
      </c>
      <c r="M88" s="4">
        <v>3061003</v>
      </c>
      <c r="N88" s="4">
        <v>3265000</v>
      </c>
      <c r="O88" s="4">
        <v>2324196</v>
      </c>
      <c r="P88" s="4">
        <v>0</v>
      </c>
      <c r="Q88" s="4">
        <v>116949</v>
      </c>
      <c r="R88" s="4">
        <v>0</v>
      </c>
      <c r="S88" s="4">
        <v>0</v>
      </c>
      <c r="T88" s="23">
        <v>0</v>
      </c>
      <c r="U88" s="23">
        <v>5.23</v>
      </c>
      <c r="V88" s="5" t="s">
        <v>3849</v>
      </c>
      <c r="W88" s="4">
        <v>0</v>
      </c>
      <c r="X88" s="4">
        <v>0</v>
      </c>
      <c r="Y88" s="11">
        <v>39647</v>
      </c>
      <c r="Z88" s="11">
        <v>46600</v>
      </c>
      <c r="AA88" s="64" t="s">
        <v>3539</v>
      </c>
      <c r="AB88" s="63" t="s">
        <v>3840</v>
      </c>
      <c r="AC88" s="5" t="s">
        <v>9</v>
      </c>
      <c r="AD88" s="2"/>
      <c r="AE88" s="6"/>
      <c r="AF88" s="23"/>
      <c r="AG88" s="6"/>
      <c r="AH88" s="5" t="s">
        <v>3</v>
      </c>
      <c r="AI88" s="5" t="s">
        <v>2225</v>
      </c>
      <c r="AJ88" s="5" t="s">
        <v>2226</v>
      </c>
      <c r="AK88" s="16" t="s">
        <v>3</v>
      </c>
      <c r="AL88" s="65" t="s">
        <v>3842</v>
      </c>
      <c r="AM88" s="31" t="s">
        <v>1161</v>
      </c>
    </row>
    <row r="89" spans="2:39" x14ac:dyDescent="0.25">
      <c r="B89" s="18" t="s">
        <v>2443</v>
      </c>
      <c r="C89" s="44" t="s">
        <v>3540</v>
      </c>
      <c r="D89" s="20" t="s">
        <v>3541</v>
      </c>
      <c r="E89" s="67" t="s">
        <v>3</v>
      </c>
      <c r="F89" s="51" t="s">
        <v>3</v>
      </c>
      <c r="G89" s="37" t="s">
        <v>3</v>
      </c>
      <c r="H89" s="68" t="s">
        <v>2715</v>
      </c>
      <c r="I89" s="62" t="s">
        <v>1157</v>
      </c>
      <c r="J89" s="61" t="s">
        <v>250</v>
      </c>
      <c r="K89" s="4">
        <v>6878901</v>
      </c>
      <c r="L89" s="39">
        <v>108.18899999999999</v>
      </c>
      <c r="M89" s="4">
        <v>7573230</v>
      </c>
      <c r="N89" s="4">
        <v>7000000</v>
      </c>
      <c r="O89" s="4">
        <v>6936410</v>
      </c>
      <c r="P89" s="4">
        <v>0</v>
      </c>
      <c r="Q89" s="4">
        <v>15029</v>
      </c>
      <c r="R89" s="4">
        <v>0</v>
      </c>
      <c r="S89" s="4">
        <v>0</v>
      </c>
      <c r="T89" s="23">
        <v>2.9</v>
      </c>
      <c r="U89" s="23">
        <v>3.1480000000000001</v>
      </c>
      <c r="V89" s="5" t="s">
        <v>3844</v>
      </c>
      <c r="W89" s="4">
        <v>16917</v>
      </c>
      <c r="X89" s="4">
        <v>203000</v>
      </c>
      <c r="Y89" s="11">
        <v>42725</v>
      </c>
      <c r="Z89" s="11">
        <v>45627</v>
      </c>
      <c r="AA89" s="64" t="s">
        <v>1356</v>
      </c>
      <c r="AB89" s="63" t="s">
        <v>3840</v>
      </c>
      <c r="AC89" s="5" t="s">
        <v>9</v>
      </c>
      <c r="AD89" s="2"/>
      <c r="AE89" s="6"/>
      <c r="AF89" s="23"/>
      <c r="AG89" s="6"/>
      <c r="AH89" s="5" t="s">
        <v>1635</v>
      </c>
      <c r="AI89" s="5" t="s">
        <v>3541</v>
      </c>
      <c r="AJ89" s="5" t="s">
        <v>3</v>
      </c>
      <c r="AK89" s="16" t="s">
        <v>3</v>
      </c>
      <c r="AL89" s="65" t="s">
        <v>2715</v>
      </c>
      <c r="AM89" s="31" t="s">
        <v>1631</v>
      </c>
    </row>
    <row r="90" spans="2:39" x14ac:dyDescent="0.25">
      <c r="B90" s="18" t="s">
        <v>3542</v>
      </c>
      <c r="C90" s="44" t="s">
        <v>1162</v>
      </c>
      <c r="D90" s="20" t="s">
        <v>1636</v>
      </c>
      <c r="E90" s="67" t="s">
        <v>2224</v>
      </c>
      <c r="F90" s="51" t="s">
        <v>3</v>
      </c>
      <c r="G90" s="37" t="s">
        <v>3</v>
      </c>
      <c r="H90" s="68" t="s">
        <v>2715</v>
      </c>
      <c r="I90" s="62" t="s">
        <v>1157</v>
      </c>
      <c r="J90" s="61" t="s">
        <v>250</v>
      </c>
      <c r="K90" s="4">
        <v>1135278</v>
      </c>
      <c r="L90" s="39">
        <v>92.897000000000006</v>
      </c>
      <c r="M90" s="4">
        <v>2805489</v>
      </c>
      <c r="N90" s="4">
        <v>3020000</v>
      </c>
      <c r="O90" s="4">
        <v>2152550</v>
      </c>
      <c r="P90" s="4">
        <v>0</v>
      </c>
      <c r="Q90" s="4">
        <v>107914</v>
      </c>
      <c r="R90" s="4">
        <v>0</v>
      </c>
      <c r="S90" s="4">
        <v>0</v>
      </c>
      <c r="T90" s="23">
        <v>0</v>
      </c>
      <c r="U90" s="23">
        <v>5.21</v>
      </c>
      <c r="V90" s="5" t="s">
        <v>3849</v>
      </c>
      <c r="W90" s="4">
        <v>0</v>
      </c>
      <c r="X90" s="4">
        <v>0</v>
      </c>
      <c r="Y90" s="11">
        <v>39640</v>
      </c>
      <c r="Z90" s="11">
        <v>46600</v>
      </c>
      <c r="AA90" s="64" t="s">
        <v>3539</v>
      </c>
      <c r="AB90" s="63" t="s">
        <v>3840</v>
      </c>
      <c r="AC90" s="5" t="s">
        <v>9</v>
      </c>
      <c r="AD90" s="2"/>
      <c r="AE90" s="6"/>
      <c r="AF90" s="23"/>
      <c r="AG90" s="6"/>
      <c r="AH90" s="5" t="s">
        <v>3</v>
      </c>
      <c r="AI90" s="5" t="s">
        <v>2718</v>
      </c>
      <c r="AJ90" s="5" t="s">
        <v>2226</v>
      </c>
      <c r="AK90" s="16" t="s">
        <v>3</v>
      </c>
      <c r="AL90" s="65" t="s">
        <v>3842</v>
      </c>
      <c r="AM90" s="31" t="s">
        <v>1631</v>
      </c>
    </row>
    <row r="91" spans="2:39" x14ac:dyDescent="0.25">
      <c r="B91" s="18" t="s">
        <v>256</v>
      </c>
      <c r="C91" s="44" t="s">
        <v>903</v>
      </c>
      <c r="D91" s="20" t="s">
        <v>1636</v>
      </c>
      <c r="E91" s="67" t="s">
        <v>2224</v>
      </c>
      <c r="F91" s="51" t="s">
        <v>3</v>
      </c>
      <c r="G91" s="37" t="s">
        <v>3</v>
      </c>
      <c r="H91" s="68" t="s">
        <v>2715</v>
      </c>
      <c r="I91" s="62" t="s">
        <v>1157</v>
      </c>
      <c r="J91" s="61" t="s">
        <v>250</v>
      </c>
      <c r="K91" s="4">
        <v>1112103</v>
      </c>
      <c r="L91" s="39">
        <v>90.796000000000006</v>
      </c>
      <c r="M91" s="4">
        <v>2855534</v>
      </c>
      <c r="N91" s="4">
        <v>3145000</v>
      </c>
      <c r="O91" s="4">
        <v>2121418</v>
      </c>
      <c r="P91" s="4">
        <v>0</v>
      </c>
      <c r="Q91" s="4">
        <v>107334</v>
      </c>
      <c r="R91" s="4">
        <v>0</v>
      </c>
      <c r="S91" s="4">
        <v>0</v>
      </c>
      <c r="T91" s="23">
        <v>0</v>
      </c>
      <c r="U91" s="23">
        <v>5.26</v>
      </c>
      <c r="V91" s="5" t="s">
        <v>3849</v>
      </c>
      <c r="W91" s="4">
        <v>0</v>
      </c>
      <c r="X91" s="4">
        <v>0</v>
      </c>
      <c r="Y91" s="11">
        <v>39640</v>
      </c>
      <c r="Z91" s="11">
        <v>46966</v>
      </c>
      <c r="AA91" s="64" t="s">
        <v>3539</v>
      </c>
      <c r="AB91" s="63" t="s">
        <v>3840</v>
      </c>
      <c r="AC91" s="5" t="s">
        <v>9</v>
      </c>
      <c r="AD91" s="2"/>
      <c r="AE91" s="6"/>
      <c r="AF91" s="23"/>
      <c r="AG91" s="6"/>
      <c r="AH91" s="5" t="s">
        <v>3</v>
      </c>
      <c r="AI91" s="5" t="s">
        <v>2718</v>
      </c>
      <c r="AJ91" s="5" t="s">
        <v>2226</v>
      </c>
      <c r="AK91" s="16" t="s">
        <v>3</v>
      </c>
      <c r="AL91" s="65" t="s">
        <v>3842</v>
      </c>
      <c r="AM91" s="31" t="s">
        <v>1631</v>
      </c>
    </row>
    <row r="92" spans="2:39" x14ac:dyDescent="0.25">
      <c r="B92" s="18" t="s">
        <v>1357</v>
      </c>
      <c r="C92" s="44" t="s">
        <v>904</v>
      </c>
      <c r="D92" s="20" t="s">
        <v>1636</v>
      </c>
      <c r="E92" s="67" t="s">
        <v>2224</v>
      </c>
      <c r="F92" s="51" t="s">
        <v>3</v>
      </c>
      <c r="G92" s="37" t="s">
        <v>3</v>
      </c>
      <c r="H92" s="68" t="s">
        <v>2715</v>
      </c>
      <c r="I92" s="62" t="s">
        <v>1157</v>
      </c>
      <c r="J92" s="61" t="s">
        <v>250</v>
      </c>
      <c r="K92" s="4">
        <v>1086588</v>
      </c>
      <c r="L92" s="39">
        <v>88.495000000000005</v>
      </c>
      <c r="M92" s="4">
        <v>2893787</v>
      </c>
      <c r="N92" s="4">
        <v>3270000</v>
      </c>
      <c r="O92" s="4">
        <v>2085375</v>
      </c>
      <c r="P92" s="4">
        <v>0</v>
      </c>
      <c r="Q92" s="4">
        <v>106477</v>
      </c>
      <c r="R92" s="4">
        <v>0</v>
      </c>
      <c r="S92" s="4">
        <v>0</v>
      </c>
      <c r="T92" s="23">
        <v>0</v>
      </c>
      <c r="U92" s="23">
        <v>5.31</v>
      </c>
      <c r="V92" s="5" t="s">
        <v>3849</v>
      </c>
      <c r="W92" s="4">
        <v>0</v>
      </c>
      <c r="X92" s="4">
        <v>0</v>
      </c>
      <c r="Y92" s="11">
        <v>39640</v>
      </c>
      <c r="Z92" s="11">
        <v>47331</v>
      </c>
      <c r="AA92" s="64" t="s">
        <v>3539</v>
      </c>
      <c r="AB92" s="63" t="s">
        <v>3840</v>
      </c>
      <c r="AC92" s="5" t="s">
        <v>9</v>
      </c>
      <c r="AD92" s="2"/>
      <c r="AE92" s="6"/>
      <c r="AF92" s="23"/>
      <c r="AG92" s="6"/>
      <c r="AH92" s="5" t="s">
        <v>3</v>
      </c>
      <c r="AI92" s="5" t="s">
        <v>2718</v>
      </c>
      <c r="AJ92" s="5" t="s">
        <v>2226</v>
      </c>
      <c r="AK92" s="16" t="s">
        <v>3</v>
      </c>
      <c r="AL92" s="65" t="s">
        <v>3842</v>
      </c>
      <c r="AM92" s="31" t="s">
        <v>1631</v>
      </c>
    </row>
    <row r="93" spans="2:39" x14ac:dyDescent="0.25">
      <c r="B93" s="18" t="s">
        <v>2719</v>
      </c>
      <c r="C93" s="44" t="s">
        <v>905</v>
      </c>
      <c r="D93" s="20" t="s">
        <v>1636</v>
      </c>
      <c r="E93" s="67" t="s">
        <v>2224</v>
      </c>
      <c r="F93" s="51" t="s">
        <v>3</v>
      </c>
      <c r="G93" s="37" t="s">
        <v>3</v>
      </c>
      <c r="H93" s="68" t="s">
        <v>2715</v>
      </c>
      <c r="I93" s="62" t="s">
        <v>1157</v>
      </c>
      <c r="J93" s="61" t="s">
        <v>250</v>
      </c>
      <c r="K93" s="4">
        <v>1095768</v>
      </c>
      <c r="L93" s="39">
        <v>86.188000000000002</v>
      </c>
      <c r="M93" s="4">
        <v>3020889</v>
      </c>
      <c r="N93" s="4">
        <v>3505000</v>
      </c>
      <c r="O93" s="4">
        <v>2113208</v>
      </c>
      <c r="P93" s="4">
        <v>0</v>
      </c>
      <c r="Q93" s="4">
        <v>108679</v>
      </c>
      <c r="R93" s="4">
        <v>0</v>
      </c>
      <c r="S93" s="4">
        <v>0</v>
      </c>
      <c r="T93" s="23">
        <v>0</v>
      </c>
      <c r="U93" s="23">
        <v>5.35</v>
      </c>
      <c r="V93" s="5" t="s">
        <v>3849</v>
      </c>
      <c r="W93" s="4">
        <v>0</v>
      </c>
      <c r="X93" s="4">
        <v>0</v>
      </c>
      <c r="Y93" s="11">
        <v>39640</v>
      </c>
      <c r="Z93" s="11">
        <v>47696</v>
      </c>
      <c r="AA93" s="64" t="s">
        <v>3539</v>
      </c>
      <c r="AB93" s="63" t="s">
        <v>3840</v>
      </c>
      <c r="AC93" s="5" t="s">
        <v>9</v>
      </c>
      <c r="AD93" s="2"/>
      <c r="AE93" s="6"/>
      <c r="AF93" s="23"/>
      <c r="AG93" s="6"/>
      <c r="AH93" s="5" t="s">
        <v>3</v>
      </c>
      <c r="AI93" s="5" t="s">
        <v>2718</v>
      </c>
      <c r="AJ93" s="5" t="s">
        <v>2226</v>
      </c>
      <c r="AK93" s="16" t="s">
        <v>3</v>
      </c>
      <c r="AL93" s="65" t="s">
        <v>3842</v>
      </c>
      <c r="AM93" s="31" t="s">
        <v>1631</v>
      </c>
    </row>
    <row r="94" spans="2:39" x14ac:dyDescent="0.25">
      <c r="B94" s="18" t="s">
        <v>3850</v>
      </c>
      <c r="C94" s="44" t="s">
        <v>16</v>
      </c>
      <c r="D94" s="20" t="s">
        <v>906</v>
      </c>
      <c r="E94" s="67" t="s">
        <v>2224</v>
      </c>
      <c r="F94" s="51" t="s">
        <v>3</v>
      </c>
      <c r="G94" s="37" t="s">
        <v>3</v>
      </c>
      <c r="H94" s="68" t="s">
        <v>2715</v>
      </c>
      <c r="I94" s="62" t="s">
        <v>2218</v>
      </c>
      <c r="J94" s="61" t="s">
        <v>250</v>
      </c>
      <c r="K94" s="4">
        <v>844303</v>
      </c>
      <c r="L94" s="39">
        <v>87.259</v>
      </c>
      <c r="M94" s="4">
        <v>1889157</v>
      </c>
      <c r="N94" s="4">
        <v>2165000</v>
      </c>
      <c r="O94" s="4">
        <v>1178397</v>
      </c>
      <c r="P94" s="4">
        <v>0</v>
      </c>
      <c r="Q94" s="4">
        <v>72470</v>
      </c>
      <c r="R94" s="4">
        <v>0</v>
      </c>
      <c r="S94" s="4">
        <v>0</v>
      </c>
      <c r="T94" s="23">
        <v>0</v>
      </c>
      <c r="U94" s="23">
        <v>6.4489999999999998</v>
      </c>
      <c r="V94" s="5" t="s">
        <v>3849</v>
      </c>
      <c r="W94" s="4">
        <v>0</v>
      </c>
      <c r="X94" s="4">
        <v>0</v>
      </c>
      <c r="Y94" s="11">
        <v>42277</v>
      </c>
      <c r="Z94" s="11">
        <v>47696</v>
      </c>
      <c r="AA94" s="64" t="s">
        <v>3539</v>
      </c>
      <c r="AB94" s="63" t="s">
        <v>3840</v>
      </c>
      <c r="AC94" s="5" t="s">
        <v>9</v>
      </c>
      <c r="AD94" s="2"/>
      <c r="AE94" s="6"/>
      <c r="AF94" s="23"/>
      <c r="AG94" s="6"/>
      <c r="AH94" s="5" t="s">
        <v>3</v>
      </c>
      <c r="AI94" s="5" t="s">
        <v>2720</v>
      </c>
      <c r="AJ94" s="5" t="s">
        <v>2226</v>
      </c>
      <c r="AK94" s="16" t="s">
        <v>3</v>
      </c>
      <c r="AL94" s="65" t="s">
        <v>3842</v>
      </c>
      <c r="AM94" s="31" t="s">
        <v>1351</v>
      </c>
    </row>
    <row r="95" spans="2:39" x14ac:dyDescent="0.25">
      <c r="B95" s="18" t="s">
        <v>556</v>
      </c>
      <c r="C95" s="44" t="s">
        <v>3320</v>
      </c>
      <c r="D95" s="20" t="s">
        <v>906</v>
      </c>
      <c r="E95" s="67" t="s">
        <v>2224</v>
      </c>
      <c r="F95" s="51" t="s">
        <v>3</v>
      </c>
      <c r="G95" s="37" t="s">
        <v>3</v>
      </c>
      <c r="H95" s="68" t="s">
        <v>2715</v>
      </c>
      <c r="I95" s="62" t="s">
        <v>2218</v>
      </c>
      <c r="J95" s="61" t="s">
        <v>250</v>
      </c>
      <c r="K95" s="4">
        <v>879350</v>
      </c>
      <c r="L95" s="39">
        <v>85.188000000000002</v>
      </c>
      <c r="M95" s="4">
        <v>1984880</v>
      </c>
      <c r="N95" s="4">
        <v>2330000</v>
      </c>
      <c r="O95" s="4">
        <v>1214881</v>
      </c>
      <c r="P95" s="4">
        <v>0</v>
      </c>
      <c r="Q95" s="4">
        <v>72502</v>
      </c>
      <c r="R95" s="4">
        <v>0</v>
      </c>
      <c r="S95" s="4">
        <v>0</v>
      </c>
      <c r="T95" s="23">
        <v>0</v>
      </c>
      <c r="U95" s="23">
        <v>6.2489999999999997</v>
      </c>
      <c r="V95" s="5" t="s">
        <v>3849</v>
      </c>
      <c r="W95" s="4">
        <v>0</v>
      </c>
      <c r="X95" s="4">
        <v>0</v>
      </c>
      <c r="Y95" s="11">
        <v>42277</v>
      </c>
      <c r="Z95" s="11">
        <v>48061</v>
      </c>
      <c r="AA95" s="64" t="s">
        <v>3539</v>
      </c>
      <c r="AB95" s="63" t="s">
        <v>3840</v>
      </c>
      <c r="AC95" s="5" t="s">
        <v>9</v>
      </c>
      <c r="AD95" s="2"/>
      <c r="AE95" s="6"/>
      <c r="AF95" s="23"/>
      <c r="AG95" s="6"/>
      <c r="AH95" s="5" t="s">
        <v>3</v>
      </c>
      <c r="AI95" s="5" t="s">
        <v>2720</v>
      </c>
      <c r="AJ95" s="5" t="s">
        <v>2226</v>
      </c>
      <c r="AK95" s="16" t="s">
        <v>3</v>
      </c>
      <c r="AL95" s="65" t="s">
        <v>3842</v>
      </c>
      <c r="AM95" s="31" t="s">
        <v>1351</v>
      </c>
    </row>
    <row r="96" spans="2:39" x14ac:dyDescent="0.25">
      <c r="B96" s="18" t="s">
        <v>2444</v>
      </c>
      <c r="C96" s="44" t="s">
        <v>1637</v>
      </c>
      <c r="D96" s="20" t="s">
        <v>3543</v>
      </c>
      <c r="E96" s="67" t="s">
        <v>2224</v>
      </c>
      <c r="F96" s="51" t="s">
        <v>3</v>
      </c>
      <c r="G96" s="37" t="s">
        <v>3</v>
      </c>
      <c r="H96" s="68" t="s">
        <v>2715</v>
      </c>
      <c r="I96" s="62" t="s">
        <v>1157</v>
      </c>
      <c r="J96" s="61" t="s">
        <v>250</v>
      </c>
      <c r="K96" s="4">
        <v>1895950</v>
      </c>
      <c r="L96" s="39">
        <v>91.481999999999999</v>
      </c>
      <c r="M96" s="4">
        <v>4574100</v>
      </c>
      <c r="N96" s="4">
        <v>5000000</v>
      </c>
      <c r="O96" s="4">
        <v>3510150</v>
      </c>
      <c r="P96" s="4">
        <v>0</v>
      </c>
      <c r="Q96" s="4">
        <v>159995</v>
      </c>
      <c r="R96" s="4">
        <v>0</v>
      </c>
      <c r="S96" s="4">
        <v>0</v>
      </c>
      <c r="T96" s="23">
        <v>0</v>
      </c>
      <c r="U96" s="23">
        <v>4.72</v>
      </c>
      <c r="V96" s="5" t="s">
        <v>3849</v>
      </c>
      <c r="W96" s="4">
        <v>0</v>
      </c>
      <c r="X96" s="4">
        <v>0</v>
      </c>
      <c r="Y96" s="11">
        <v>39360</v>
      </c>
      <c r="Z96" s="11">
        <v>46966</v>
      </c>
      <c r="AA96" s="64" t="s">
        <v>3539</v>
      </c>
      <c r="AB96" s="63" t="s">
        <v>3840</v>
      </c>
      <c r="AC96" s="5" t="s">
        <v>9</v>
      </c>
      <c r="AD96" s="2"/>
      <c r="AE96" s="6"/>
      <c r="AF96" s="23"/>
      <c r="AG96" s="6"/>
      <c r="AH96" s="5" t="s">
        <v>3</v>
      </c>
      <c r="AI96" s="5" t="s">
        <v>1638</v>
      </c>
      <c r="AJ96" s="5" t="s">
        <v>2226</v>
      </c>
      <c r="AK96" s="16" t="s">
        <v>3</v>
      </c>
      <c r="AL96" s="65" t="s">
        <v>3842</v>
      </c>
      <c r="AM96" s="31" t="s">
        <v>1631</v>
      </c>
    </row>
    <row r="97" spans="2:39" x14ac:dyDescent="0.25">
      <c r="B97" s="18" t="s">
        <v>3544</v>
      </c>
      <c r="C97" s="44" t="s">
        <v>3078</v>
      </c>
      <c r="D97" s="20" t="s">
        <v>3545</v>
      </c>
      <c r="E97" s="67" t="s">
        <v>2224</v>
      </c>
      <c r="F97" s="51" t="s">
        <v>3</v>
      </c>
      <c r="G97" s="37" t="s">
        <v>3</v>
      </c>
      <c r="H97" s="68" t="s">
        <v>2715</v>
      </c>
      <c r="I97" s="62" t="s">
        <v>10</v>
      </c>
      <c r="J97" s="61" t="s">
        <v>250</v>
      </c>
      <c r="K97" s="4">
        <v>1906377</v>
      </c>
      <c r="L97" s="39">
        <v>92.87</v>
      </c>
      <c r="M97" s="4">
        <v>3905184</v>
      </c>
      <c r="N97" s="4">
        <v>4205000</v>
      </c>
      <c r="O97" s="4">
        <v>2635111</v>
      </c>
      <c r="P97" s="4">
        <v>0</v>
      </c>
      <c r="Q97" s="4">
        <v>157495</v>
      </c>
      <c r="R97" s="4">
        <v>0</v>
      </c>
      <c r="S97" s="4">
        <v>0</v>
      </c>
      <c r="T97" s="23">
        <v>0</v>
      </c>
      <c r="U97" s="23">
        <v>6.2590000000000003</v>
      </c>
      <c r="V97" s="5" t="s">
        <v>3849</v>
      </c>
      <c r="W97" s="4">
        <v>0</v>
      </c>
      <c r="X97" s="4">
        <v>0</v>
      </c>
      <c r="Y97" s="11">
        <v>42277</v>
      </c>
      <c r="Z97" s="11">
        <v>46966</v>
      </c>
      <c r="AA97" s="64" t="s">
        <v>3539</v>
      </c>
      <c r="AB97" s="63" t="s">
        <v>3840</v>
      </c>
      <c r="AC97" s="5" t="s">
        <v>9</v>
      </c>
      <c r="AD97" s="2"/>
      <c r="AE97" s="6"/>
      <c r="AF97" s="23"/>
      <c r="AG97" s="6"/>
      <c r="AH97" s="5" t="s">
        <v>3</v>
      </c>
      <c r="AI97" s="5" t="s">
        <v>3546</v>
      </c>
      <c r="AJ97" s="5" t="s">
        <v>2226</v>
      </c>
      <c r="AK97" s="16" t="s">
        <v>3</v>
      </c>
      <c r="AL97" s="65" t="s">
        <v>3842</v>
      </c>
      <c r="AM97" s="31" t="s">
        <v>1992</v>
      </c>
    </row>
    <row r="98" spans="2:39" x14ac:dyDescent="0.25">
      <c r="B98" s="7" t="s">
        <v>2713</v>
      </c>
      <c r="C98" s="1" t="s">
        <v>2713</v>
      </c>
      <c r="D98" s="8" t="s">
        <v>2713</v>
      </c>
      <c r="E98" s="1" t="s">
        <v>2713</v>
      </c>
      <c r="F98" s="1" t="s">
        <v>2713</v>
      </c>
      <c r="G98" s="1" t="s">
        <v>2713</v>
      </c>
      <c r="H98" s="1" t="s">
        <v>2713</v>
      </c>
      <c r="I98" s="1" t="s">
        <v>2713</v>
      </c>
      <c r="J98" s="1" t="s">
        <v>2713</v>
      </c>
      <c r="K98" s="1" t="s">
        <v>2713</v>
      </c>
      <c r="L98" s="1" t="s">
        <v>2713</v>
      </c>
      <c r="M98" s="1" t="s">
        <v>2713</v>
      </c>
      <c r="N98" s="1" t="s">
        <v>2713</v>
      </c>
      <c r="O98" s="1" t="s">
        <v>2713</v>
      </c>
      <c r="P98" s="1" t="s">
        <v>2713</v>
      </c>
      <c r="Q98" s="1" t="s">
        <v>2713</v>
      </c>
      <c r="R98" s="1" t="s">
        <v>2713</v>
      </c>
      <c r="S98" s="1" t="s">
        <v>2713</v>
      </c>
      <c r="T98" s="1" t="s">
        <v>2713</v>
      </c>
      <c r="U98" s="1" t="s">
        <v>2713</v>
      </c>
      <c r="V98" s="1" t="s">
        <v>2713</v>
      </c>
      <c r="W98" s="1" t="s">
        <v>2713</v>
      </c>
      <c r="X98" s="1" t="s">
        <v>2713</v>
      </c>
      <c r="Y98" s="15" t="s">
        <v>2713</v>
      </c>
      <c r="Z98" s="15" t="s">
        <v>2713</v>
      </c>
      <c r="AA98" s="1" t="s">
        <v>2713</v>
      </c>
      <c r="AB98" s="1" t="s">
        <v>2713</v>
      </c>
      <c r="AC98" s="1" t="s">
        <v>2713</v>
      </c>
      <c r="AD98" s="1" t="s">
        <v>2713</v>
      </c>
      <c r="AE98" s="1" t="s">
        <v>2713</v>
      </c>
      <c r="AF98" s="1" t="s">
        <v>2713</v>
      </c>
      <c r="AG98" s="1" t="s">
        <v>2713</v>
      </c>
      <c r="AH98" s="1" t="s">
        <v>2713</v>
      </c>
      <c r="AI98" s="1" t="s">
        <v>2713</v>
      </c>
      <c r="AJ98" s="1" t="s">
        <v>2713</v>
      </c>
      <c r="AK98" s="1" t="s">
        <v>2713</v>
      </c>
      <c r="AL98" s="1" t="s">
        <v>2713</v>
      </c>
      <c r="AM98" s="1" t="s">
        <v>2713</v>
      </c>
    </row>
    <row r="99" spans="2:39" ht="41.4" x14ac:dyDescent="0.25">
      <c r="B99" s="21" t="s">
        <v>557</v>
      </c>
      <c r="C99" s="19" t="s">
        <v>3079</v>
      </c>
      <c r="D99" s="17"/>
      <c r="E99" s="2"/>
      <c r="F99" s="2"/>
      <c r="G99" s="2"/>
      <c r="H99" s="2"/>
      <c r="I99" s="2"/>
      <c r="J99" s="2"/>
      <c r="K99" s="3">
        <f>SUM('GMIC_2020-Annu_SCDPT1'!SCDPT1_18BEGIN_7:'GMIC_2020-Annu_SCDPT1'!SCDPT1_18ENDIN_7)</f>
        <v>22558862</v>
      </c>
      <c r="L99" s="2"/>
      <c r="M99" s="3">
        <f>SUM('GMIC_2020-Annu_SCDPT1'!SCDPT1_18BEGIN_9:'GMIC_2020-Annu_SCDPT1'!SCDPT1_18ENDIN_9)</f>
        <v>39251083</v>
      </c>
      <c r="N99" s="3">
        <f>SUM('GMIC_2020-Annu_SCDPT1'!SCDPT1_18BEGIN_10:'GMIC_2020-Annu_SCDPT1'!SCDPT1_18ENDIN_10)</f>
        <v>41405000</v>
      </c>
      <c r="O99" s="3">
        <f>SUM('GMIC_2020-Annu_SCDPT1'!SCDPT1_18BEGIN_11:'GMIC_2020-Annu_SCDPT1'!SCDPT1_18ENDIN_11)</f>
        <v>30771696</v>
      </c>
      <c r="P99" s="3">
        <f>SUM('GMIC_2020-Annu_SCDPT1'!SCDPT1_18BEGIN_12:'GMIC_2020-Annu_SCDPT1'!SCDPT1_18ENDIN_12)</f>
        <v>0</v>
      </c>
      <c r="Q99" s="3">
        <f>SUM('GMIC_2020-Annu_SCDPT1'!SCDPT1_18BEGIN_13:'GMIC_2020-Annu_SCDPT1'!SCDPT1_18ENDIN_13)</f>
        <v>1024844</v>
      </c>
      <c r="R99" s="3">
        <f>SUM('GMIC_2020-Annu_SCDPT1'!SCDPT1_18BEGIN_14:'GMIC_2020-Annu_SCDPT1'!SCDPT1_18ENDIN_14)</f>
        <v>0</v>
      </c>
      <c r="S99" s="3">
        <f>SUM('GMIC_2020-Annu_SCDPT1'!SCDPT1_18BEGIN_15:'GMIC_2020-Annu_SCDPT1'!SCDPT1_18ENDIN_15)</f>
        <v>0</v>
      </c>
      <c r="T99" s="2"/>
      <c r="U99" s="2"/>
      <c r="V99" s="2"/>
      <c r="W99" s="3">
        <f>SUM('GMIC_2020-Annu_SCDPT1'!SCDPT1_18BEGIN_19:'GMIC_2020-Annu_SCDPT1'!SCDPT1_18ENDIN_19)</f>
        <v>66207</v>
      </c>
      <c r="X99" s="3">
        <f>SUM('GMIC_2020-Annu_SCDPT1'!SCDPT1_18BEGIN_20:'GMIC_2020-Annu_SCDPT1'!SCDPT1_18ENDIN_20)</f>
        <v>350870</v>
      </c>
      <c r="Y99" s="27"/>
      <c r="Z99" s="27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2:39" x14ac:dyDescent="0.25">
      <c r="B100" s="7" t="s">
        <v>2713</v>
      </c>
      <c r="C100" s="1" t="s">
        <v>2713</v>
      </c>
      <c r="D100" s="8" t="s">
        <v>2713</v>
      </c>
      <c r="E100" s="1" t="s">
        <v>2713</v>
      </c>
      <c r="F100" s="1" t="s">
        <v>2713</v>
      </c>
      <c r="G100" s="1" t="s">
        <v>2713</v>
      </c>
      <c r="H100" s="1" t="s">
        <v>2713</v>
      </c>
      <c r="I100" s="1" t="s">
        <v>2713</v>
      </c>
      <c r="J100" s="1" t="s">
        <v>2713</v>
      </c>
      <c r="K100" s="1" t="s">
        <v>2713</v>
      </c>
      <c r="L100" s="1" t="s">
        <v>2713</v>
      </c>
      <c r="M100" s="1" t="s">
        <v>2713</v>
      </c>
      <c r="N100" s="1" t="s">
        <v>2713</v>
      </c>
      <c r="O100" s="1" t="s">
        <v>2713</v>
      </c>
      <c r="P100" s="1" t="s">
        <v>2713</v>
      </c>
      <c r="Q100" s="1" t="s">
        <v>2713</v>
      </c>
      <c r="R100" s="1" t="s">
        <v>2713</v>
      </c>
      <c r="S100" s="1" t="s">
        <v>2713</v>
      </c>
      <c r="T100" s="1" t="s">
        <v>2713</v>
      </c>
      <c r="U100" s="1" t="s">
        <v>2713</v>
      </c>
      <c r="V100" s="1" t="s">
        <v>2713</v>
      </c>
      <c r="W100" s="1" t="s">
        <v>2713</v>
      </c>
      <c r="X100" s="1" t="s">
        <v>2713</v>
      </c>
      <c r="Y100" s="15" t="s">
        <v>2713</v>
      </c>
      <c r="Z100" s="15" t="s">
        <v>2713</v>
      </c>
      <c r="AA100" s="1" t="s">
        <v>2713</v>
      </c>
      <c r="AB100" s="1" t="s">
        <v>2713</v>
      </c>
      <c r="AC100" s="1" t="s">
        <v>2713</v>
      </c>
      <c r="AD100" s="1" t="s">
        <v>2713</v>
      </c>
      <c r="AE100" s="1" t="s">
        <v>2713</v>
      </c>
      <c r="AF100" s="1" t="s">
        <v>2713</v>
      </c>
      <c r="AG100" s="1" t="s">
        <v>2713</v>
      </c>
      <c r="AH100" s="1" t="s">
        <v>2713</v>
      </c>
      <c r="AI100" s="1" t="s">
        <v>2713</v>
      </c>
      <c r="AJ100" s="1" t="s">
        <v>2713</v>
      </c>
      <c r="AK100" s="1" t="s">
        <v>2713</v>
      </c>
      <c r="AL100" s="1" t="s">
        <v>2713</v>
      </c>
      <c r="AM100" s="1" t="s">
        <v>2713</v>
      </c>
    </row>
    <row r="101" spans="2:39" x14ac:dyDescent="0.25">
      <c r="B101" s="18" t="s">
        <v>2721</v>
      </c>
      <c r="C101" s="25" t="s">
        <v>3846</v>
      </c>
      <c r="D101" s="20" t="s">
        <v>3</v>
      </c>
      <c r="E101" s="38" t="s">
        <v>3</v>
      </c>
      <c r="F101" s="22" t="s">
        <v>3</v>
      </c>
      <c r="G101" s="37" t="s">
        <v>3</v>
      </c>
      <c r="H101" s="33" t="s">
        <v>3</v>
      </c>
      <c r="I101" s="34" t="s">
        <v>3</v>
      </c>
      <c r="J101" s="36" t="s">
        <v>3</v>
      </c>
      <c r="K101" s="4"/>
      <c r="L101" s="39"/>
      <c r="M101" s="4"/>
      <c r="N101" s="4"/>
      <c r="O101" s="4"/>
      <c r="P101" s="4"/>
      <c r="Q101" s="4"/>
      <c r="R101" s="4"/>
      <c r="S101" s="4"/>
      <c r="T101" s="23"/>
      <c r="U101" s="23"/>
      <c r="V101" s="5" t="s">
        <v>3</v>
      </c>
      <c r="W101" s="4"/>
      <c r="X101" s="4"/>
      <c r="Y101" s="9"/>
      <c r="Z101" s="9"/>
      <c r="AA101" s="42" t="s">
        <v>3</v>
      </c>
      <c r="AB101" s="29" t="s">
        <v>3</v>
      </c>
      <c r="AC101" s="5" t="s">
        <v>3</v>
      </c>
      <c r="AD101" s="2"/>
      <c r="AE101" s="6"/>
      <c r="AF101" s="23"/>
      <c r="AG101" s="6"/>
      <c r="AH101" s="5" t="s">
        <v>3</v>
      </c>
      <c r="AI101" s="5" t="s">
        <v>3</v>
      </c>
      <c r="AJ101" s="5" t="s">
        <v>3</v>
      </c>
      <c r="AK101" s="16" t="s">
        <v>3</v>
      </c>
      <c r="AL101" s="40" t="s">
        <v>3</v>
      </c>
      <c r="AM101" s="31" t="s">
        <v>3</v>
      </c>
    </row>
    <row r="102" spans="2:39" x14ac:dyDescent="0.25">
      <c r="B102" s="7" t="s">
        <v>2713</v>
      </c>
      <c r="C102" s="1" t="s">
        <v>2713</v>
      </c>
      <c r="D102" s="8" t="s">
        <v>2713</v>
      </c>
      <c r="E102" s="1" t="s">
        <v>2713</v>
      </c>
      <c r="F102" s="1" t="s">
        <v>2713</v>
      </c>
      <c r="G102" s="1" t="s">
        <v>2713</v>
      </c>
      <c r="H102" s="1" t="s">
        <v>2713</v>
      </c>
      <c r="I102" s="1" t="s">
        <v>2713</v>
      </c>
      <c r="J102" s="1" t="s">
        <v>2713</v>
      </c>
      <c r="K102" s="1" t="s">
        <v>2713</v>
      </c>
      <c r="L102" s="1" t="s">
        <v>2713</v>
      </c>
      <c r="M102" s="1" t="s">
        <v>2713</v>
      </c>
      <c r="N102" s="1" t="s">
        <v>2713</v>
      </c>
      <c r="O102" s="1" t="s">
        <v>2713</v>
      </c>
      <c r="P102" s="1" t="s">
        <v>2713</v>
      </c>
      <c r="Q102" s="1" t="s">
        <v>2713</v>
      </c>
      <c r="R102" s="1" t="s">
        <v>2713</v>
      </c>
      <c r="S102" s="1" t="s">
        <v>2713</v>
      </c>
      <c r="T102" s="1" t="s">
        <v>2713</v>
      </c>
      <c r="U102" s="1" t="s">
        <v>2713</v>
      </c>
      <c r="V102" s="1" t="s">
        <v>2713</v>
      </c>
      <c r="W102" s="1" t="s">
        <v>2713</v>
      </c>
      <c r="X102" s="1" t="s">
        <v>2713</v>
      </c>
      <c r="Y102" s="15" t="s">
        <v>2713</v>
      </c>
      <c r="Z102" s="15" t="s">
        <v>2713</v>
      </c>
      <c r="AA102" s="1" t="s">
        <v>2713</v>
      </c>
      <c r="AB102" s="1" t="s">
        <v>2713</v>
      </c>
      <c r="AC102" s="1" t="s">
        <v>2713</v>
      </c>
      <c r="AD102" s="1" t="s">
        <v>2713</v>
      </c>
      <c r="AE102" s="1" t="s">
        <v>2713</v>
      </c>
      <c r="AF102" s="1" t="s">
        <v>2713</v>
      </c>
      <c r="AG102" s="1" t="s">
        <v>2713</v>
      </c>
      <c r="AH102" s="1" t="s">
        <v>2713</v>
      </c>
      <c r="AI102" s="1" t="s">
        <v>2713</v>
      </c>
      <c r="AJ102" s="1" t="s">
        <v>2713</v>
      </c>
      <c r="AK102" s="1" t="s">
        <v>2713</v>
      </c>
      <c r="AL102" s="1" t="s">
        <v>2713</v>
      </c>
      <c r="AM102" s="1" t="s">
        <v>2713</v>
      </c>
    </row>
    <row r="103" spans="2:39" ht="55.2" x14ac:dyDescent="0.25">
      <c r="B103" s="21" t="s">
        <v>4207</v>
      </c>
      <c r="C103" s="19" t="s">
        <v>3080</v>
      </c>
      <c r="D103" s="17"/>
      <c r="E103" s="2"/>
      <c r="F103" s="2"/>
      <c r="G103" s="2"/>
      <c r="H103" s="2"/>
      <c r="I103" s="2"/>
      <c r="J103" s="2"/>
      <c r="K103" s="3">
        <f>SUM('GMIC_2020-Annu_SCDPT1'!SCDPT1_19BEGIN_7:'GMIC_2020-Annu_SCDPT1'!SCDPT1_19ENDIN_7)</f>
        <v>0</v>
      </c>
      <c r="L103" s="2"/>
      <c r="M103" s="3">
        <f>SUM('GMIC_2020-Annu_SCDPT1'!SCDPT1_19BEGIN_9:'GMIC_2020-Annu_SCDPT1'!SCDPT1_19ENDIN_9)</f>
        <v>0</v>
      </c>
      <c r="N103" s="3">
        <f>SUM('GMIC_2020-Annu_SCDPT1'!SCDPT1_19BEGIN_10:'GMIC_2020-Annu_SCDPT1'!SCDPT1_19ENDIN_10)</f>
        <v>0</v>
      </c>
      <c r="O103" s="3">
        <f>SUM('GMIC_2020-Annu_SCDPT1'!SCDPT1_19BEGIN_11:'GMIC_2020-Annu_SCDPT1'!SCDPT1_19ENDIN_11)</f>
        <v>0</v>
      </c>
      <c r="P103" s="3">
        <f>SUM('GMIC_2020-Annu_SCDPT1'!SCDPT1_19BEGIN_12:'GMIC_2020-Annu_SCDPT1'!SCDPT1_19ENDIN_12)</f>
        <v>0</v>
      </c>
      <c r="Q103" s="3">
        <f>SUM('GMIC_2020-Annu_SCDPT1'!SCDPT1_19BEGIN_13:'GMIC_2020-Annu_SCDPT1'!SCDPT1_19ENDIN_13)</f>
        <v>0</v>
      </c>
      <c r="R103" s="3">
        <f>SUM('GMIC_2020-Annu_SCDPT1'!SCDPT1_19BEGIN_14:'GMIC_2020-Annu_SCDPT1'!SCDPT1_19ENDIN_14)</f>
        <v>0</v>
      </c>
      <c r="S103" s="3">
        <f>SUM('GMIC_2020-Annu_SCDPT1'!SCDPT1_19BEGIN_15:'GMIC_2020-Annu_SCDPT1'!SCDPT1_19ENDIN_15)</f>
        <v>0</v>
      </c>
      <c r="T103" s="2"/>
      <c r="U103" s="2"/>
      <c r="V103" s="2"/>
      <c r="W103" s="3">
        <f>SUM('GMIC_2020-Annu_SCDPT1'!SCDPT1_19BEGIN_19:'GMIC_2020-Annu_SCDPT1'!SCDPT1_19ENDIN_19)</f>
        <v>0</v>
      </c>
      <c r="X103" s="3">
        <f>SUM('GMIC_2020-Annu_SCDPT1'!SCDPT1_19BEGIN_20:'GMIC_2020-Annu_SCDPT1'!SCDPT1_19ENDIN_20)</f>
        <v>0</v>
      </c>
      <c r="Y103" s="27"/>
      <c r="Z103" s="27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2:39" x14ac:dyDescent="0.25">
      <c r="B104" s="7" t="s">
        <v>2713</v>
      </c>
      <c r="C104" s="1" t="s">
        <v>2713</v>
      </c>
      <c r="D104" s="8" t="s">
        <v>2713</v>
      </c>
      <c r="E104" s="1" t="s">
        <v>2713</v>
      </c>
      <c r="F104" s="1" t="s">
        <v>2713</v>
      </c>
      <c r="G104" s="1" t="s">
        <v>2713</v>
      </c>
      <c r="H104" s="1" t="s">
        <v>2713</v>
      </c>
      <c r="I104" s="1" t="s">
        <v>2713</v>
      </c>
      <c r="J104" s="1" t="s">
        <v>2713</v>
      </c>
      <c r="K104" s="1" t="s">
        <v>2713</v>
      </c>
      <c r="L104" s="1" t="s">
        <v>2713</v>
      </c>
      <c r="M104" s="1" t="s">
        <v>2713</v>
      </c>
      <c r="N104" s="1" t="s">
        <v>2713</v>
      </c>
      <c r="O104" s="1" t="s">
        <v>2713</v>
      </c>
      <c r="P104" s="1" t="s">
        <v>2713</v>
      </c>
      <c r="Q104" s="1" t="s">
        <v>2713</v>
      </c>
      <c r="R104" s="1" t="s">
        <v>2713</v>
      </c>
      <c r="S104" s="1" t="s">
        <v>2713</v>
      </c>
      <c r="T104" s="1" t="s">
        <v>2713</v>
      </c>
      <c r="U104" s="1" t="s">
        <v>2713</v>
      </c>
      <c r="V104" s="1" t="s">
        <v>2713</v>
      </c>
      <c r="W104" s="1" t="s">
        <v>2713</v>
      </c>
      <c r="X104" s="1" t="s">
        <v>2713</v>
      </c>
      <c r="Y104" s="15" t="s">
        <v>2713</v>
      </c>
      <c r="Z104" s="15" t="s">
        <v>2713</v>
      </c>
      <c r="AA104" s="1" t="s">
        <v>2713</v>
      </c>
      <c r="AB104" s="1" t="s">
        <v>2713</v>
      </c>
      <c r="AC104" s="1" t="s">
        <v>2713</v>
      </c>
      <c r="AD104" s="1" t="s">
        <v>2713</v>
      </c>
      <c r="AE104" s="1" t="s">
        <v>2713</v>
      </c>
      <c r="AF104" s="1" t="s">
        <v>2713</v>
      </c>
      <c r="AG104" s="1" t="s">
        <v>2713</v>
      </c>
      <c r="AH104" s="1" t="s">
        <v>2713</v>
      </c>
      <c r="AI104" s="1" t="s">
        <v>2713</v>
      </c>
      <c r="AJ104" s="1" t="s">
        <v>2713</v>
      </c>
      <c r="AK104" s="1" t="s">
        <v>2713</v>
      </c>
      <c r="AL104" s="1" t="s">
        <v>2713</v>
      </c>
      <c r="AM104" s="1" t="s">
        <v>2713</v>
      </c>
    </row>
    <row r="105" spans="2:39" x14ac:dyDescent="0.25">
      <c r="B105" s="18" t="s">
        <v>3547</v>
      </c>
      <c r="C105" s="25" t="s">
        <v>3846</v>
      </c>
      <c r="D105" s="20" t="s">
        <v>3</v>
      </c>
      <c r="E105" s="38" t="s">
        <v>3</v>
      </c>
      <c r="F105" s="22" t="s">
        <v>3</v>
      </c>
      <c r="G105" s="37" t="s">
        <v>3</v>
      </c>
      <c r="H105" s="33" t="s">
        <v>3</v>
      </c>
      <c r="I105" s="34" t="s">
        <v>3</v>
      </c>
      <c r="J105" s="36" t="s">
        <v>3</v>
      </c>
      <c r="K105" s="4"/>
      <c r="L105" s="39"/>
      <c r="M105" s="4"/>
      <c r="N105" s="4"/>
      <c r="O105" s="4"/>
      <c r="P105" s="4"/>
      <c r="Q105" s="4"/>
      <c r="R105" s="4"/>
      <c r="S105" s="4"/>
      <c r="T105" s="23"/>
      <c r="U105" s="23"/>
      <c r="V105" s="5" t="s">
        <v>3</v>
      </c>
      <c r="W105" s="4"/>
      <c r="X105" s="4"/>
      <c r="Y105" s="9"/>
      <c r="Z105" s="9"/>
      <c r="AA105" s="42" t="s">
        <v>3</v>
      </c>
      <c r="AB105" s="29" t="s">
        <v>3</v>
      </c>
      <c r="AC105" s="5" t="s">
        <v>3</v>
      </c>
      <c r="AD105" s="2"/>
      <c r="AE105" s="6"/>
      <c r="AF105" s="23"/>
      <c r="AG105" s="6"/>
      <c r="AH105" s="5" t="s">
        <v>3</v>
      </c>
      <c r="AI105" s="5" t="s">
        <v>3</v>
      </c>
      <c r="AJ105" s="5" t="s">
        <v>3</v>
      </c>
      <c r="AK105" s="16" t="s">
        <v>3</v>
      </c>
      <c r="AL105" s="40" t="s">
        <v>3</v>
      </c>
      <c r="AM105" s="31" t="s">
        <v>3</v>
      </c>
    </row>
    <row r="106" spans="2:39" x14ac:dyDescent="0.25">
      <c r="B106" s="7" t="s">
        <v>2713</v>
      </c>
      <c r="C106" s="1" t="s">
        <v>2713</v>
      </c>
      <c r="D106" s="8" t="s">
        <v>2713</v>
      </c>
      <c r="E106" s="1" t="s">
        <v>2713</v>
      </c>
      <c r="F106" s="1" t="s">
        <v>2713</v>
      </c>
      <c r="G106" s="1" t="s">
        <v>2713</v>
      </c>
      <c r="H106" s="1" t="s">
        <v>2713</v>
      </c>
      <c r="I106" s="1" t="s">
        <v>2713</v>
      </c>
      <c r="J106" s="1" t="s">
        <v>2713</v>
      </c>
      <c r="K106" s="1" t="s">
        <v>2713</v>
      </c>
      <c r="L106" s="1" t="s">
        <v>2713</v>
      </c>
      <c r="M106" s="1" t="s">
        <v>2713</v>
      </c>
      <c r="N106" s="1" t="s">
        <v>2713</v>
      </c>
      <c r="O106" s="1" t="s">
        <v>2713</v>
      </c>
      <c r="P106" s="1" t="s">
        <v>2713</v>
      </c>
      <c r="Q106" s="1" t="s">
        <v>2713</v>
      </c>
      <c r="R106" s="1" t="s">
        <v>2713</v>
      </c>
      <c r="S106" s="1" t="s">
        <v>2713</v>
      </c>
      <c r="T106" s="1" t="s">
        <v>2713</v>
      </c>
      <c r="U106" s="1" t="s">
        <v>2713</v>
      </c>
      <c r="V106" s="1" t="s">
        <v>2713</v>
      </c>
      <c r="W106" s="1" t="s">
        <v>2713</v>
      </c>
      <c r="X106" s="1" t="s">
        <v>2713</v>
      </c>
      <c r="Y106" s="15" t="s">
        <v>2713</v>
      </c>
      <c r="Z106" s="15" t="s">
        <v>2713</v>
      </c>
      <c r="AA106" s="1" t="s">
        <v>2713</v>
      </c>
      <c r="AB106" s="1" t="s">
        <v>2713</v>
      </c>
      <c r="AC106" s="1" t="s">
        <v>2713</v>
      </c>
      <c r="AD106" s="1" t="s">
        <v>2713</v>
      </c>
      <c r="AE106" s="1" t="s">
        <v>2713</v>
      </c>
      <c r="AF106" s="1" t="s">
        <v>2713</v>
      </c>
      <c r="AG106" s="1" t="s">
        <v>2713</v>
      </c>
      <c r="AH106" s="1" t="s">
        <v>2713</v>
      </c>
      <c r="AI106" s="1" t="s">
        <v>2713</v>
      </c>
      <c r="AJ106" s="1" t="s">
        <v>2713</v>
      </c>
      <c r="AK106" s="1" t="s">
        <v>2713</v>
      </c>
      <c r="AL106" s="1" t="s">
        <v>2713</v>
      </c>
      <c r="AM106" s="1" t="s">
        <v>2713</v>
      </c>
    </row>
    <row r="107" spans="2:39" ht="55.2" x14ac:dyDescent="0.25">
      <c r="B107" s="21" t="s">
        <v>558</v>
      </c>
      <c r="C107" s="19" t="s">
        <v>17</v>
      </c>
      <c r="D107" s="17"/>
      <c r="E107" s="2"/>
      <c r="F107" s="2"/>
      <c r="G107" s="2"/>
      <c r="H107" s="2"/>
      <c r="I107" s="2"/>
      <c r="J107" s="2"/>
      <c r="K107" s="3">
        <f>SUM('GMIC_2020-Annu_SCDPT1'!SCDPT1_20BEGIN_7:'GMIC_2020-Annu_SCDPT1'!SCDPT1_20ENDIN_7)</f>
        <v>0</v>
      </c>
      <c r="L107" s="2"/>
      <c r="M107" s="3">
        <f>SUM('GMIC_2020-Annu_SCDPT1'!SCDPT1_20BEGIN_9:'GMIC_2020-Annu_SCDPT1'!SCDPT1_20ENDIN_9)</f>
        <v>0</v>
      </c>
      <c r="N107" s="3">
        <f>SUM('GMIC_2020-Annu_SCDPT1'!SCDPT1_20BEGIN_10:'GMIC_2020-Annu_SCDPT1'!SCDPT1_20ENDIN_10)</f>
        <v>0</v>
      </c>
      <c r="O107" s="3">
        <f>SUM('GMIC_2020-Annu_SCDPT1'!SCDPT1_20BEGIN_11:'GMIC_2020-Annu_SCDPT1'!SCDPT1_20ENDIN_11)</f>
        <v>0</v>
      </c>
      <c r="P107" s="3">
        <f>SUM('GMIC_2020-Annu_SCDPT1'!SCDPT1_20BEGIN_12:'GMIC_2020-Annu_SCDPT1'!SCDPT1_20ENDIN_12)</f>
        <v>0</v>
      </c>
      <c r="Q107" s="3">
        <f>SUM('GMIC_2020-Annu_SCDPT1'!SCDPT1_20BEGIN_13:'GMIC_2020-Annu_SCDPT1'!SCDPT1_20ENDIN_13)</f>
        <v>0</v>
      </c>
      <c r="R107" s="3">
        <f>SUM('GMIC_2020-Annu_SCDPT1'!SCDPT1_20BEGIN_14:'GMIC_2020-Annu_SCDPT1'!SCDPT1_20ENDIN_14)</f>
        <v>0</v>
      </c>
      <c r="S107" s="3">
        <f>SUM('GMIC_2020-Annu_SCDPT1'!SCDPT1_20BEGIN_15:'GMIC_2020-Annu_SCDPT1'!SCDPT1_20ENDIN_15)</f>
        <v>0</v>
      </c>
      <c r="T107" s="2"/>
      <c r="U107" s="2"/>
      <c r="V107" s="2"/>
      <c r="W107" s="3">
        <f>SUM('GMIC_2020-Annu_SCDPT1'!SCDPT1_20BEGIN_19:'GMIC_2020-Annu_SCDPT1'!SCDPT1_20ENDIN_19)</f>
        <v>0</v>
      </c>
      <c r="X107" s="3">
        <f>SUM('GMIC_2020-Annu_SCDPT1'!SCDPT1_20BEGIN_20:'GMIC_2020-Annu_SCDPT1'!SCDPT1_20ENDIN_20)</f>
        <v>0</v>
      </c>
      <c r="Y107" s="27"/>
      <c r="Z107" s="27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2:39" x14ac:dyDescent="0.25">
      <c r="B108" s="7" t="s">
        <v>2713</v>
      </c>
      <c r="C108" s="1" t="s">
        <v>2713</v>
      </c>
      <c r="D108" s="8" t="s">
        <v>2713</v>
      </c>
      <c r="E108" s="1" t="s">
        <v>2713</v>
      </c>
      <c r="F108" s="1" t="s">
        <v>2713</v>
      </c>
      <c r="G108" s="1" t="s">
        <v>2713</v>
      </c>
      <c r="H108" s="1" t="s">
        <v>2713</v>
      </c>
      <c r="I108" s="1" t="s">
        <v>2713</v>
      </c>
      <c r="J108" s="1" t="s">
        <v>2713</v>
      </c>
      <c r="K108" s="1" t="s">
        <v>2713</v>
      </c>
      <c r="L108" s="1" t="s">
        <v>2713</v>
      </c>
      <c r="M108" s="1" t="s">
        <v>2713</v>
      </c>
      <c r="N108" s="1" t="s">
        <v>2713</v>
      </c>
      <c r="O108" s="1" t="s">
        <v>2713</v>
      </c>
      <c r="P108" s="1" t="s">
        <v>2713</v>
      </c>
      <c r="Q108" s="1" t="s">
        <v>2713</v>
      </c>
      <c r="R108" s="1" t="s">
        <v>2713</v>
      </c>
      <c r="S108" s="1" t="s">
        <v>2713</v>
      </c>
      <c r="T108" s="1" t="s">
        <v>2713</v>
      </c>
      <c r="U108" s="1" t="s">
        <v>2713</v>
      </c>
      <c r="V108" s="1" t="s">
        <v>2713</v>
      </c>
      <c r="W108" s="1" t="s">
        <v>2713</v>
      </c>
      <c r="X108" s="1" t="s">
        <v>2713</v>
      </c>
      <c r="Y108" s="15" t="s">
        <v>2713</v>
      </c>
      <c r="Z108" s="15" t="s">
        <v>2713</v>
      </c>
      <c r="AA108" s="1" t="s">
        <v>2713</v>
      </c>
      <c r="AB108" s="1" t="s">
        <v>2713</v>
      </c>
      <c r="AC108" s="1" t="s">
        <v>2713</v>
      </c>
      <c r="AD108" s="1" t="s">
        <v>2713</v>
      </c>
      <c r="AE108" s="1" t="s">
        <v>2713</v>
      </c>
      <c r="AF108" s="1" t="s">
        <v>2713</v>
      </c>
      <c r="AG108" s="1" t="s">
        <v>2713</v>
      </c>
      <c r="AH108" s="1" t="s">
        <v>2713</v>
      </c>
      <c r="AI108" s="1" t="s">
        <v>2713</v>
      </c>
      <c r="AJ108" s="1" t="s">
        <v>2713</v>
      </c>
      <c r="AK108" s="1" t="s">
        <v>2713</v>
      </c>
      <c r="AL108" s="1" t="s">
        <v>2713</v>
      </c>
      <c r="AM108" s="1" t="s">
        <v>2713</v>
      </c>
    </row>
    <row r="109" spans="2:39" x14ac:dyDescent="0.25">
      <c r="B109" s="18" t="s">
        <v>2722</v>
      </c>
      <c r="C109" s="25" t="s">
        <v>3846</v>
      </c>
      <c r="D109" s="20" t="s">
        <v>3</v>
      </c>
      <c r="E109" s="38" t="s">
        <v>3</v>
      </c>
      <c r="F109" s="22" t="s">
        <v>3</v>
      </c>
      <c r="G109" s="37" t="s">
        <v>3</v>
      </c>
      <c r="H109" s="33" t="s">
        <v>3</v>
      </c>
      <c r="I109" s="34" t="s">
        <v>3</v>
      </c>
      <c r="J109" s="36" t="s">
        <v>3</v>
      </c>
      <c r="K109" s="4"/>
      <c r="L109" s="39"/>
      <c r="M109" s="4"/>
      <c r="N109" s="4"/>
      <c r="O109" s="4"/>
      <c r="P109" s="4"/>
      <c r="Q109" s="4"/>
      <c r="R109" s="4"/>
      <c r="S109" s="4"/>
      <c r="T109" s="23"/>
      <c r="U109" s="23"/>
      <c r="V109" s="5" t="s">
        <v>3</v>
      </c>
      <c r="W109" s="4"/>
      <c r="X109" s="4"/>
      <c r="Y109" s="9"/>
      <c r="Z109" s="9"/>
      <c r="AA109" s="42" t="s">
        <v>3</v>
      </c>
      <c r="AB109" s="29" t="s">
        <v>3</v>
      </c>
      <c r="AC109" s="5" t="s">
        <v>3</v>
      </c>
      <c r="AD109" s="2"/>
      <c r="AE109" s="9"/>
      <c r="AF109" s="23"/>
      <c r="AG109" s="6"/>
      <c r="AH109" s="5" t="s">
        <v>3</v>
      </c>
      <c r="AI109" s="5" t="s">
        <v>3</v>
      </c>
      <c r="AJ109" s="5" t="s">
        <v>3</v>
      </c>
      <c r="AK109" s="16" t="s">
        <v>3</v>
      </c>
      <c r="AL109" s="40" t="s">
        <v>3</v>
      </c>
      <c r="AM109" s="31" t="s">
        <v>3</v>
      </c>
    </row>
    <row r="110" spans="2:39" x14ac:dyDescent="0.25">
      <c r="B110" s="7" t="s">
        <v>2713</v>
      </c>
      <c r="C110" s="1" t="s">
        <v>2713</v>
      </c>
      <c r="D110" s="8" t="s">
        <v>2713</v>
      </c>
      <c r="E110" s="1" t="s">
        <v>2713</v>
      </c>
      <c r="F110" s="1" t="s">
        <v>2713</v>
      </c>
      <c r="G110" s="1" t="s">
        <v>2713</v>
      </c>
      <c r="H110" s="1" t="s">
        <v>2713</v>
      </c>
      <c r="I110" s="1" t="s">
        <v>2713</v>
      </c>
      <c r="J110" s="1" t="s">
        <v>2713</v>
      </c>
      <c r="K110" s="1" t="s">
        <v>2713</v>
      </c>
      <c r="L110" s="1" t="s">
        <v>2713</v>
      </c>
      <c r="M110" s="1" t="s">
        <v>2713</v>
      </c>
      <c r="N110" s="1" t="s">
        <v>2713</v>
      </c>
      <c r="O110" s="1" t="s">
        <v>2713</v>
      </c>
      <c r="P110" s="1" t="s">
        <v>2713</v>
      </c>
      <c r="Q110" s="1" t="s">
        <v>2713</v>
      </c>
      <c r="R110" s="1" t="s">
        <v>2713</v>
      </c>
      <c r="S110" s="1" t="s">
        <v>2713</v>
      </c>
      <c r="T110" s="1" t="s">
        <v>2713</v>
      </c>
      <c r="U110" s="1" t="s">
        <v>2713</v>
      </c>
      <c r="V110" s="1" t="s">
        <v>2713</v>
      </c>
      <c r="W110" s="1" t="s">
        <v>2713</v>
      </c>
      <c r="X110" s="1" t="s">
        <v>2713</v>
      </c>
      <c r="Y110" s="15" t="s">
        <v>2713</v>
      </c>
      <c r="Z110" s="15" t="s">
        <v>2713</v>
      </c>
      <c r="AA110" s="1" t="s">
        <v>2713</v>
      </c>
      <c r="AB110" s="1" t="s">
        <v>2713</v>
      </c>
      <c r="AC110" s="1" t="s">
        <v>2713</v>
      </c>
      <c r="AD110" s="1" t="s">
        <v>2713</v>
      </c>
      <c r="AE110" s="15" t="s">
        <v>2713</v>
      </c>
      <c r="AF110" s="1" t="s">
        <v>2713</v>
      </c>
      <c r="AG110" s="1" t="s">
        <v>2713</v>
      </c>
      <c r="AH110" s="1" t="s">
        <v>2713</v>
      </c>
      <c r="AI110" s="1" t="s">
        <v>2713</v>
      </c>
      <c r="AJ110" s="1" t="s">
        <v>2713</v>
      </c>
      <c r="AK110" s="1" t="s">
        <v>2713</v>
      </c>
      <c r="AL110" s="1" t="s">
        <v>2713</v>
      </c>
      <c r="AM110" s="1" t="s">
        <v>2713</v>
      </c>
    </row>
    <row r="111" spans="2:39" ht="55.2" x14ac:dyDescent="0.25">
      <c r="B111" s="21" t="s">
        <v>4208</v>
      </c>
      <c r="C111" s="19" t="s">
        <v>907</v>
      </c>
      <c r="D111" s="17"/>
      <c r="E111" s="2"/>
      <c r="F111" s="2"/>
      <c r="G111" s="2"/>
      <c r="H111" s="2"/>
      <c r="I111" s="2"/>
      <c r="J111" s="2"/>
      <c r="K111" s="3">
        <f>SUM('GMIC_2020-Annu_SCDPT1'!SCDPT1_21BEGIN_7:'GMIC_2020-Annu_SCDPT1'!SCDPT1_21ENDIN_7)</f>
        <v>0</v>
      </c>
      <c r="L111" s="2"/>
      <c r="M111" s="3">
        <f>SUM('GMIC_2020-Annu_SCDPT1'!SCDPT1_21BEGIN_9:'GMIC_2020-Annu_SCDPT1'!SCDPT1_21ENDIN_9)</f>
        <v>0</v>
      </c>
      <c r="N111" s="3">
        <f>SUM('GMIC_2020-Annu_SCDPT1'!SCDPT1_21BEGIN_10:'GMIC_2020-Annu_SCDPT1'!SCDPT1_21ENDIN_10)</f>
        <v>0</v>
      </c>
      <c r="O111" s="3">
        <f>SUM('GMIC_2020-Annu_SCDPT1'!SCDPT1_21BEGIN_11:'GMIC_2020-Annu_SCDPT1'!SCDPT1_21ENDIN_11)</f>
        <v>0</v>
      </c>
      <c r="P111" s="3">
        <f>SUM('GMIC_2020-Annu_SCDPT1'!SCDPT1_21BEGIN_12:'GMIC_2020-Annu_SCDPT1'!SCDPT1_21ENDIN_12)</f>
        <v>0</v>
      </c>
      <c r="Q111" s="3">
        <f>SUM('GMIC_2020-Annu_SCDPT1'!SCDPT1_21BEGIN_13:'GMIC_2020-Annu_SCDPT1'!SCDPT1_21ENDIN_13)</f>
        <v>0</v>
      </c>
      <c r="R111" s="3">
        <f>SUM('GMIC_2020-Annu_SCDPT1'!SCDPT1_21BEGIN_14:'GMIC_2020-Annu_SCDPT1'!SCDPT1_21ENDIN_14)</f>
        <v>0</v>
      </c>
      <c r="S111" s="3">
        <f>SUM('GMIC_2020-Annu_SCDPT1'!SCDPT1_21BEGIN_15:'GMIC_2020-Annu_SCDPT1'!SCDPT1_21ENDIN_15)</f>
        <v>0</v>
      </c>
      <c r="T111" s="2"/>
      <c r="U111" s="2"/>
      <c r="V111" s="2"/>
      <c r="W111" s="3">
        <f>SUM('GMIC_2020-Annu_SCDPT1'!SCDPT1_21BEGIN_19:'GMIC_2020-Annu_SCDPT1'!SCDPT1_21ENDIN_19)</f>
        <v>0</v>
      </c>
      <c r="X111" s="3">
        <f>SUM('GMIC_2020-Annu_SCDPT1'!SCDPT1_21BEGIN_20:'GMIC_2020-Annu_SCDPT1'!SCDPT1_21ENDIN_20)</f>
        <v>0</v>
      </c>
      <c r="Y111" s="27"/>
      <c r="Z111" s="27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2:39" ht="27.6" x14ac:dyDescent="0.25">
      <c r="B112" s="21" t="s">
        <v>1994</v>
      </c>
      <c r="C112" s="19" t="s">
        <v>257</v>
      </c>
      <c r="D112" s="17"/>
      <c r="E112" s="2"/>
      <c r="F112" s="2"/>
      <c r="G112" s="2"/>
      <c r="H112" s="2"/>
      <c r="I112" s="2"/>
      <c r="J112" s="2"/>
      <c r="K112" s="3">
        <f>'GMIC_2020-Annu_SCDPT1'!SCDPT1_1899999_7+'GMIC_2020-Annu_SCDPT1'!SCDPT1_1999999_7+'GMIC_2020-Annu_SCDPT1'!SCDPT1_2099999_7+'GMIC_2020-Annu_SCDPT1'!SCDPT1_2199999_7</f>
        <v>22558862</v>
      </c>
      <c r="L112" s="2"/>
      <c r="M112" s="3">
        <f>'GMIC_2020-Annu_SCDPT1'!SCDPT1_1899999_9+'GMIC_2020-Annu_SCDPT1'!SCDPT1_1999999_9+'GMIC_2020-Annu_SCDPT1'!SCDPT1_2099999_9+'GMIC_2020-Annu_SCDPT1'!SCDPT1_2199999_9</f>
        <v>39251083</v>
      </c>
      <c r="N112" s="3">
        <f>'GMIC_2020-Annu_SCDPT1'!SCDPT1_1899999_10+'GMIC_2020-Annu_SCDPT1'!SCDPT1_1999999_10+'GMIC_2020-Annu_SCDPT1'!SCDPT1_2099999_10+'GMIC_2020-Annu_SCDPT1'!SCDPT1_2199999_10</f>
        <v>41405000</v>
      </c>
      <c r="O112" s="3">
        <f>'GMIC_2020-Annu_SCDPT1'!SCDPT1_1899999_11+'GMIC_2020-Annu_SCDPT1'!SCDPT1_1999999_11+'GMIC_2020-Annu_SCDPT1'!SCDPT1_2099999_11+'GMIC_2020-Annu_SCDPT1'!SCDPT1_2199999_11</f>
        <v>30771696</v>
      </c>
      <c r="P112" s="3">
        <f>'GMIC_2020-Annu_SCDPT1'!SCDPT1_1899999_12+'GMIC_2020-Annu_SCDPT1'!SCDPT1_1999999_12+'GMIC_2020-Annu_SCDPT1'!SCDPT1_2099999_12+'GMIC_2020-Annu_SCDPT1'!SCDPT1_2199999_12</f>
        <v>0</v>
      </c>
      <c r="Q112" s="3">
        <f>'GMIC_2020-Annu_SCDPT1'!SCDPT1_1899999_13+'GMIC_2020-Annu_SCDPT1'!SCDPT1_1999999_13+'GMIC_2020-Annu_SCDPT1'!SCDPT1_2099999_13+'GMIC_2020-Annu_SCDPT1'!SCDPT1_2199999_13</f>
        <v>1024844</v>
      </c>
      <c r="R112" s="3">
        <f>'GMIC_2020-Annu_SCDPT1'!SCDPT1_1899999_14+'GMIC_2020-Annu_SCDPT1'!SCDPT1_1999999_14+'GMIC_2020-Annu_SCDPT1'!SCDPT1_2099999_14+'GMIC_2020-Annu_SCDPT1'!SCDPT1_2199999_14</f>
        <v>0</v>
      </c>
      <c r="S112" s="3">
        <f>'GMIC_2020-Annu_SCDPT1'!SCDPT1_1899999_15+'GMIC_2020-Annu_SCDPT1'!SCDPT1_1999999_15+'GMIC_2020-Annu_SCDPT1'!SCDPT1_2099999_15+'GMIC_2020-Annu_SCDPT1'!SCDPT1_2199999_15</f>
        <v>0</v>
      </c>
      <c r="T112" s="2"/>
      <c r="U112" s="2"/>
      <c r="V112" s="2"/>
      <c r="W112" s="3">
        <f>'GMIC_2020-Annu_SCDPT1'!SCDPT1_1899999_19+'GMIC_2020-Annu_SCDPT1'!SCDPT1_1999999_19+'GMIC_2020-Annu_SCDPT1'!SCDPT1_2099999_19+'GMIC_2020-Annu_SCDPT1'!SCDPT1_2199999_19</f>
        <v>66207</v>
      </c>
      <c r="X112" s="3">
        <f>'GMIC_2020-Annu_SCDPT1'!SCDPT1_1899999_20+'GMIC_2020-Annu_SCDPT1'!SCDPT1_1999999_20+'GMIC_2020-Annu_SCDPT1'!SCDPT1_2099999_20+'GMIC_2020-Annu_SCDPT1'!SCDPT1_2199999_20</f>
        <v>350870</v>
      </c>
      <c r="Y112" s="27"/>
      <c r="Z112" s="27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2:39" x14ac:dyDescent="0.25">
      <c r="B113" s="7" t="s">
        <v>2713</v>
      </c>
      <c r="C113" s="1" t="s">
        <v>2713</v>
      </c>
      <c r="D113" s="8" t="s">
        <v>2713</v>
      </c>
      <c r="E113" s="1" t="s">
        <v>2713</v>
      </c>
      <c r="F113" s="1" t="s">
        <v>2713</v>
      </c>
      <c r="G113" s="1" t="s">
        <v>2713</v>
      </c>
      <c r="H113" s="1" t="s">
        <v>2713</v>
      </c>
      <c r="I113" s="1" t="s">
        <v>2713</v>
      </c>
      <c r="J113" s="1" t="s">
        <v>2713</v>
      </c>
      <c r="K113" s="1" t="s">
        <v>2713</v>
      </c>
      <c r="L113" s="1" t="s">
        <v>2713</v>
      </c>
      <c r="M113" s="1" t="s">
        <v>2713</v>
      </c>
      <c r="N113" s="1" t="s">
        <v>2713</v>
      </c>
      <c r="O113" s="1" t="s">
        <v>2713</v>
      </c>
      <c r="P113" s="1" t="s">
        <v>2713</v>
      </c>
      <c r="Q113" s="1" t="s">
        <v>2713</v>
      </c>
      <c r="R113" s="1" t="s">
        <v>2713</v>
      </c>
      <c r="S113" s="1" t="s">
        <v>2713</v>
      </c>
      <c r="T113" s="1" t="s">
        <v>2713</v>
      </c>
      <c r="U113" s="1" t="s">
        <v>2713</v>
      </c>
      <c r="V113" s="1" t="s">
        <v>2713</v>
      </c>
      <c r="W113" s="1" t="s">
        <v>2713</v>
      </c>
      <c r="X113" s="1" t="s">
        <v>2713</v>
      </c>
      <c r="Y113" s="15" t="s">
        <v>2713</v>
      </c>
      <c r="Z113" s="15" t="s">
        <v>2713</v>
      </c>
      <c r="AA113" s="1" t="s">
        <v>2713</v>
      </c>
      <c r="AB113" s="1" t="s">
        <v>2713</v>
      </c>
      <c r="AC113" s="1" t="s">
        <v>2713</v>
      </c>
      <c r="AD113" s="1" t="s">
        <v>2713</v>
      </c>
      <c r="AE113" s="1" t="s">
        <v>2713</v>
      </c>
      <c r="AF113" s="1" t="s">
        <v>2713</v>
      </c>
      <c r="AG113" s="1" t="s">
        <v>2713</v>
      </c>
      <c r="AH113" s="1" t="s">
        <v>2713</v>
      </c>
      <c r="AI113" s="1" t="s">
        <v>2713</v>
      </c>
      <c r="AJ113" s="1" t="s">
        <v>2713</v>
      </c>
      <c r="AK113" s="1" t="s">
        <v>2713</v>
      </c>
      <c r="AL113" s="1" t="s">
        <v>2713</v>
      </c>
      <c r="AM113" s="1" t="s">
        <v>2713</v>
      </c>
    </row>
    <row r="114" spans="2:39" x14ac:dyDescent="0.25">
      <c r="B114" s="18" t="s">
        <v>908</v>
      </c>
      <c r="C114" s="44" t="s">
        <v>909</v>
      </c>
      <c r="D114" s="20" t="s">
        <v>4209</v>
      </c>
      <c r="E114" s="38" t="s">
        <v>3</v>
      </c>
      <c r="F114" s="22" t="s">
        <v>3</v>
      </c>
      <c r="G114" s="37" t="s">
        <v>3</v>
      </c>
      <c r="H114" s="33" t="s">
        <v>2715</v>
      </c>
      <c r="I114" s="34" t="s">
        <v>1358</v>
      </c>
      <c r="J114" s="36" t="s">
        <v>250</v>
      </c>
      <c r="K114" s="4">
        <v>3315000</v>
      </c>
      <c r="L114" s="39">
        <v>105.86</v>
      </c>
      <c r="M114" s="4">
        <v>3509259</v>
      </c>
      <c r="N114" s="4">
        <v>3315000</v>
      </c>
      <c r="O114" s="4">
        <v>3315000</v>
      </c>
      <c r="P114" s="4">
        <v>0</v>
      </c>
      <c r="Q114" s="4">
        <v>0</v>
      </c>
      <c r="R114" s="4">
        <v>0</v>
      </c>
      <c r="S114" s="4">
        <v>0</v>
      </c>
      <c r="T114" s="23">
        <v>3.1629999999999998</v>
      </c>
      <c r="U114" s="23">
        <v>3.1629999999999998</v>
      </c>
      <c r="V114" s="5" t="s">
        <v>12</v>
      </c>
      <c r="W114" s="4">
        <v>30873</v>
      </c>
      <c r="X114" s="4">
        <v>104853</v>
      </c>
      <c r="Y114" s="11">
        <v>42706</v>
      </c>
      <c r="Z114" s="11">
        <v>45915</v>
      </c>
      <c r="AA114" s="42" t="s">
        <v>258</v>
      </c>
      <c r="AB114" s="29" t="s">
        <v>3840</v>
      </c>
      <c r="AC114" s="5" t="s">
        <v>9</v>
      </c>
      <c r="AD114" s="2"/>
      <c r="AE114" s="6"/>
      <c r="AF114" s="23"/>
      <c r="AG114" s="6"/>
      <c r="AH114" s="5" t="s">
        <v>3</v>
      </c>
      <c r="AI114" s="5" t="s">
        <v>18</v>
      </c>
      <c r="AJ114" s="5" t="s">
        <v>4210</v>
      </c>
      <c r="AK114" s="16" t="s">
        <v>3</v>
      </c>
      <c r="AL114" s="40" t="s">
        <v>2715</v>
      </c>
      <c r="AM114" s="31" t="s">
        <v>559</v>
      </c>
    </row>
    <row r="115" spans="2:39" x14ac:dyDescent="0.25">
      <c r="B115" s="18" t="s">
        <v>1995</v>
      </c>
      <c r="C115" s="44" t="s">
        <v>1639</v>
      </c>
      <c r="D115" s="20" t="s">
        <v>2227</v>
      </c>
      <c r="E115" s="67" t="s">
        <v>3</v>
      </c>
      <c r="F115" s="51" t="s">
        <v>3</v>
      </c>
      <c r="G115" s="37" t="s">
        <v>2715</v>
      </c>
      <c r="H115" s="68" t="s">
        <v>2715</v>
      </c>
      <c r="I115" s="62" t="s">
        <v>10</v>
      </c>
      <c r="J115" s="61" t="s">
        <v>250</v>
      </c>
      <c r="K115" s="4">
        <v>5000000</v>
      </c>
      <c r="L115" s="39">
        <v>106.03400000000001</v>
      </c>
      <c r="M115" s="4">
        <v>5301700</v>
      </c>
      <c r="N115" s="4">
        <v>5000000</v>
      </c>
      <c r="O115" s="4">
        <v>5000000</v>
      </c>
      <c r="P115" s="4">
        <v>0</v>
      </c>
      <c r="Q115" s="4">
        <v>0</v>
      </c>
      <c r="R115" s="4">
        <v>0</v>
      </c>
      <c r="S115" s="4">
        <v>0</v>
      </c>
      <c r="T115" s="23">
        <v>2.1739999999999999</v>
      </c>
      <c r="U115" s="23">
        <v>2.1739999999999999</v>
      </c>
      <c r="V115" s="5" t="s">
        <v>1982</v>
      </c>
      <c r="W115" s="4">
        <v>54350</v>
      </c>
      <c r="X115" s="4">
        <v>41970</v>
      </c>
      <c r="Y115" s="11">
        <v>43840</v>
      </c>
      <c r="Z115" s="11">
        <v>46204</v>
      </c>
      <c r="AA115" s="64" t="s">
        <v>3081</v>
      </c>
      <c r="AB115" s="63" t="s">
        <v>3840</v>
      </c>
      <c r="AC115" s="5" t="s">
        <v>9</v>
      </c>
      <c r="AD115" s="2"/>
      <c r="AE115" s="6"/>
      <c r="AF115" s="23"/>
      <c r="AG115" s="6"/>
      <c r="AH115" s="5" t="s">
        <v>3</v>
      </c>
      <c r="AI115" s="5" t="s">
        <v>2227</v>
      </c>
      <c r="AJ115" s="5" t="s">
        <v>3</v>
      </c>
      <c r="AK115" s="16" t="s">
        <v>3</v>
      </c>
      <c r="AL115" s="65" t="s">
        <v>2715</v>
      </c>
      <c r="AM115" s="31" t="s">
        <v>1992</v>
      </c>
    </row>
    <row r="116" spans="2:39" x14ac:dyDescent="0.25">
      <c r="B116" s="18" t="s">
        <v>3082</v>
      </c>
      <c r="C116" s="44" t="s">
        <v>4211</v>
      </c>
      <c r="D116" s="20" t="s">
        <v>2227</v>
      </c>
      <c r="E116" s="67" t="s">
        <v>3</v>
      </c>
      <c r="F116" s="51" t="s">
        <v>3</v>
      </c>
      <c r="G116" s="37" t="s">
        <v>2715</v>
      </c>
      <c r="H116" s="68" t="s">
        <v>2715</v>
      </c>
      <c r="I116" s="62" t="s">
        <v>10</v>
      </c>
      <c r="J116" s="61" t="s">
        <v>250</v>
      </c>
      <c r="K116" s="4">
        <v>3000000</v>
      </c>
      <c r="L116" s="39">
        <v>106.33</v>
      </c>
      <c r="M116" s="4">
        <v>3189900</v>
      </c>
      <c r="N116" s="4">
        <v>3000000</v>
      </c>
      <c r="O116" s="4">
        <v>3000000</v>
      </c>
      <c r="P116" s="4">
        <v>0</v>
      </c>
      <c r="Q116" s="4">
        <v>0</v>
      </c>
      <c r="R116" s="4">
        <v>0</v>
      </c>
      <c r="S116" s="4">
        <v>0</v>
      </c>
      <c r="T116" s="23">
        <v>2.2240000000000002</v>
      </c>
      <c r="U116" s="23">
        <v>2.2240000000000002</v>
      </c>
      <c r="V116" s="5" t="s">
        <v>1982</v>
      </c>
      <c r="W116" s="4">
        <v>33360</v>
      </c>
      <c r="X116" s="4">
        <v>25761</v>
      </c>
      <c r="Y116" s="11">
        <v>43840</v>
      </c>
      <c r="Z116" s="11">
        <v>46569</v>
      </c>
      <c r="AA116" s="64" t="s">
        <v>3081</v>
      </c>
      <c r="AB116" s="63" t="s">
        <v>3840</v>
      </c>
      <c r="AC116" s="5" t="s">
        <v>9</v>
      </c>
      <c r="AD116" s="2"/>
      <c r="AE116" s="9"/>
      <c r="AF116" s="23"/>
      <c r="AG116" s="6"/>
      <c r="AH116" s="5" t="s">
        <v>3</v>
      </c>
      <c r="AI116" s="5" t="s">
        <v>2227</v>
      </c>
      <c r="AJ116" s="5" t="s">
        <v>3</v>
      </c>
      <c r="AK116" s="16" t="s">
        <v>3</v>
      </c>
      <c r="AL116" s="65" t="s">
        <v>2715</v>
      </c>
      <c r="AM116" s="31" t="s">
        <v>1992</v>
      </c>
    </row>
    <row r="117" spans="2:39" x14ac:dyDescent="0.25">
      <c r="B117" s="18" t="s">
        <v>4212</v>
      </c>
      <c r="C117" s="44" t="s">
        <v>3851</v>
      </c>
      <c r="D117" s="20" t="s">
        <v>2227</v>
      </c>
      <c r="E117" s="67" t="s">
        <v>3</v>
      </c>
      <c r="F117" s="51" t="s">
        <v>3</v>
      </c>
      <c r="G117" s="37" t="s">
        <v>2715</v>
      </c>
      <c r="H117" s="68" t="s">
        <v>2715</v>
      </c>
      <c r="I117" s="62" t="s">
        <v>10</v>
      </c>
      <c r="J117" s="61" t="s">
        <v>250</v>
      </c>
      <c r="K117" s="4">
        <v>5000000</v>
      </c>
      <c r="L117" s="39">
        <v>106.553</v>
      </c>
      <c r="M117" s="4">
        <v>5327650</v>
      </c>
      <c r="N117" s="4">
        <v>5000000</v>
      </c>
      <c r="O117" s="4">
        <v>5000000</v>
      </c>
      <c r="P117" s="4">
        <v>0</v>
      </c>
      <c r="Q117" s="4">
        <v>0</v>
      </c>
      <c r="R117" s="4">
        <v>0</v>
      </c>
      <c r="S117" s="4">
        <v>0</v>
      </c>
      <c r="T117" s="23">
        <v>2.3620000000000001</v>
      </c>
      <c r="U117" s="23">
        <v>2.3620000000000001</v>
      </c>
      <c r="V117" s="5" t="s">
        <v>1982</v>
      </c>
      <c r="W117" s="4">
        <v>59050</v>
      </c>
      <c r="X117" s="4">
        <v>45600</v>
      </c>
      <c r="Y117" s="11">
        <v>43840</v>
      </c>
      <c r="Z117" s="11">
        <v>46935</v>
      </c>
      <c r="AA117" s="64" t="s">
        <v>3081</v>
      </c>
      <c r="AB117" s="63" t="s">
        <v>3840</v>
      </c>
      <c r="AC117" s="5" t="s">
        <v>9</v>
      </c>
      <c r="AD117" s="2"/>
      <c r="AE117" s="9"/>
      <c r="AF117" s="23"/>
      <c r="AG117" s="6"/>
      <c r="AH117" s="5" t="s">
        <v>3</v>
      </c>
      <c r="AI117" s="5" t="s">
        <v>2227</v>
      </c>
      <c r="AJ117" s="5" t="s">
        <v>3</v>
      </c>
      <c r="AK117" s="16" t="s">
        <v>3</v>
      </c>
      <c r="AL117" s="65" t="s">
        <v>2715</v>
      </c>
      <c r="AM117" s="31" t="s">
        <v>1992</v>
      </c>
    </row>
    <row r="118" spans="2:39" x14ac:dyDescent="0.25">
      <c r="B118" s="18" t="s">
        <v>910</v>
      </c>
      <c r="C118" s="44" t="s">
        <v>1163</v>
      </c>
      <c r="D118" s="20" t="s">
        <v>259</v>
      </c>
      <c r="E118" s="67" t="s">
        <v>3</v>
      </c>
      <c r="F118" s="51" t="s">
        <v>3</v>
      </c>
      <c r="G118" s="37" t="s">
        <v>2715</v>
      </c>
      <c r="H118" s="68" t="s">
        <v>2715</v>
      </c>
      <c r="I118" s="62" t="s">
        <v>2218</v>
      </c>
      <c r="J118" s="61" t="s">
        <v>250</v>
      </c>
      <c r="K118" s="4">
        <v>1250000</v>
      </c>
      <c r="L118" s="39">
        <v>101.892</v>
      </c>
      <c r="M118" s="4">
        <v>1273650</v>
      </c>
      <c r="N118" s="4">
        <v>1250000</v>
      </c>
      <c r="O118" s="4">
        <v>1250000</v>
      </c>
      <c r="P118" s="4">
        <v>0</v>
      </c>
      <c r="Q118" s="4">
        <v>0</v>
      </c>
      <c r="R118" s="4">
        <v>0</v>
      </c>
      <c r="S118" s="4">
        <v>0</v>
      </c>
      <c r="T118" s="23">
        <v>1.1970000000000001</v>
      </c>
      <c r="U118" s="23">
        <v>1.1970000000000001</v>
      </c>
      <c r="V118" s="5" t="s">
        <v>3844</v>
      </c>
      <c r="W118" s="4">
        <v>1246</v>
      </c>
      <c r="X118" s="4">
        <v>5071</v>
      </c>
      <c r="Y118" s="11">
        <v>44035</v>
      </c>
      <c r="Z118" s="11">
        <v>46174</v>
      </c>
      <c r="AA118" s="64" t="s">
        <v>258</v>
      </c>
      <c r="AB118" s="63" t="s">
        <v>3840</v>
      </c>
      <c r="AC118" s="5" t="s">
        <v>9</v>
      </c>
      <c r="AD118" s="2"/>
      <c r="AE118" s="6"/>
      <c r="AF118" s="23"/>
      <c r="AG118" s="6"/>
      <c r="AH118" s="5" t="s">
        <v>3</v>
      </c>
      <c r="AI118" s="5" t="s">
        <v>2723</v>
      </c>
      <c r="AJ118" s="5" t="s">
        <v>3852</v>
      </c>
      <c r="AK118" s="16" t="s">
        <v>3</v>
      </c>
      <c r="AL118" s="65" t="s">
        <v>2715</v>
      </c>
      <c r="AM118" s="31" t="s">
        <v>1351</v>
      </c>
    </row>
    <row r="119" spans="2:39" x14ac:dyDescent="0.25">
      <c r="B119" s="18" t="s">
        <v>1996</v>
      </c>
      <c r="C119" s="44" t="s">
        <v>4213</v>
      </c>
      <c r="D119" s="20" t="s">
        <v>259</v>
      </c>
      <c r="E119" s="67" t="s">
        <v>3</v>
      </c>
      <c r="F119" s="51" t="s">
        <v>3</v>
      </c>
      <c r="G119" s="37" t="s">
        <v>2715</v>
      </c>
      <c r="H119" s="68" t="s">
        <v>2715</v>
      </c>
      <c r="I119" s="62" t="s">
        <v>2218</v>
      </c>
      <c r="J119" s="61" t="s">
        <v>250</v>
      </c>
      <c r="K119" s="4">
        <v>1250000</v>
      </c>
      <c r="L119" s="39">
        <v>101.869</v>
      </c>
      <c r="M119" s="4">
        <v>1273363</v>
      </c>
      <c r="N119" s="4">
        <v>1250000</v>
      </c>
      <c r="O119" s="4">
        <v>1250000</v>
      </c>
      <c r="P119" s="4">
        <v>0</v>
      </c>
      <c r="Q119" s="4">
        <v>0</v>
      </c>
      <c r="R119" s="4">
        <v>0</v>
      </c>
      <c r="S119" s="4">
        <v>0</v>
      </c>
      <c r="T119" s="23">
        <v>1.2969999999999999</v>
      </c>
      <c r="U119" s="23">
        <v>1.2969999999999999</v>
      </c>
      <c r="V119" s="5" t="s">
        <v>3844</v>
      </c>
      <c r="W119" s="4">
        <v>1350</v>
      </c>
      <c r="X119" s="4">
        <v>5494</v>
      </c>
      <c r="Y119" s="11">
        <v>44035</v>
      </c>
      <c r="Z119" s="11">
        <v>46539</v>
      </c>
      <c r="AA119" s="64" t="s">
        <v>258</v>
      </c>
      <c r="AB119" s="63" t="s">
        <v>3840</v>
      </c>
      <c r="AC119" s="5" t="s">
        <v>9</v>
      </c>
      <c r="AD119" s="2"/>
      <c r="AE119" s="6"/>
      <c r="AF119" s="23"/>
      <c r="AG119" s="6"/>
      <c r="AH119" s="5" t="s">
        <v>3</v>
      </c>
      <c r="AI119" s="5" t="s">
        <v>2723</v>
      </c>
      <c r="AJ119" s="5" t="s">
        <v>3852</v>
      </c>
      <c r="AK119" s="16" t="s">
        <v>3</v>
      </c>
      <c r="AL119" s="65" t="s">
        <v>2715</v>
      </c>
      <c r="AM119" s="31" t="s">
        <v>1351</v>
      </c>
    </row>
    <row r="120" spans="2:39" x14ac:dyDescent="0.25">
      <c r="B120" s="18" t="s">
        <v>3083</v>
      </c>
      <c r="C120" s="44" t="s">
        <v>3548</v>
      </c>
      <c r="D120" s="20" t="s">
        <v>259</v>
      </c>
      <c r="E120" s="67" t="s">
        <v>3</v>
      </c>
      <c r="F120" s="51" t="s">
        <v>3</v>
      </c>
      <c r="G120" s="37" t="s">
        <v>2715</v>
      </c>
      <c r="H120" s="68" t="s">
        <v>2715</v>
      </c>
      <c r="I120" s="62" t="s">
        <v>2218</v>
      </c>
      <c r="J120" s="61" t="s">
        <v>250</v>
      </c>
      <c r="K120" s="4">
        <v>750000</v>
      </c>
      <c r="L120" s="39">
        <v>102.18</v>
      </c>
      <c r="M120" s="4">
        <v>766350</v>
      </c>
      <c r="N120" s="4">
        <v>750000</v>
      </c>
      <c r="O120" s="4">
        <v>750000</v>
      </c>
      <c r="P120" s="4">
        <v>0</v>
      </c>
      <c r="Q120" s="4">
        <v>0</v>
      </c>
      <c r="R120" s="4">
        <v>0</v>
      </c>
      <c r="S120" s="4">
        <v>0</v>
      </c>
      <c r="T120" s="23">
        <v>1.4950000000000001</v>
      </c>
      <c r="U120" s="23">
        <v>1.4950000000000001</v>
      </c>
      <c r="V120" s="5" t="s">
        <v>3844</v>
      </c>
      <c r="W120" s="4">
        <v>934</v>
      </c>
      <c r="X120" s="4">
        <v>3800</v>
      </c>
      <c r="Y120" s="11">
        <v>44035</v>
      </c>
      <c r="Z120" s="11">
        <v>46905</v>
      </c>
      <c r="AA120" s="64" t="s">
        <v>258</v>
      </c>
      <c r="AB120" s="63" t="s">
        <v>3840</v>
      </c>
      <c r="AC120" s="5" t="s">
        <v>9</v>
      </c>
      <c r="AD120" s="2"/>
      <c r="AE120" s="6"/>
      <c r="AF120" s="23"/>
      <c r="AG120" s="6"/>
      <c r="AH120" s="5" t="s">
        <v>3</v>
      </c>
      <c r="AI120" s="5" t="s">
        <v>2723</v>
      </c>
      <c r="AJ120" s="5" t="s">
        <v>3852</v>
      </c>
      <c r="AK120" s="16" t="s">
        <v>3</v>
      </c>
      <c r="AL120" s="65" t="s">
        <v>2715</v>
      </c>
      <c r="AM120" s="31" t="s">
        <v>1351</v>
      </c>
    </row>
    <row r="121" spans="2:39" x14ac:dyDescent="0.25">
      <c r="B121" s="18" t="s">
        <v>19</v>
      </c>
      <c r="C121" s="44" t="s">
        <v>1640</v>
      </c>
      <c r="D121" s="20" t="s">
        <v>259</v>
      </c>
      <c r="E121" s="67" t="s">
        <v>3</v>
      </c>
      <c r="F121" s="51" t="s">
        <v>3</v>
      </c>
      <c r="G121" s="37" t="s">
        <v>2715</v>
      </c>
      <c r="H121" s="68" t="s">
        <v>2715</v>
      </c>
      <c r="I121" s="62" t="s">
        <v>2218</v>
      </c>
      <c r="J121" s="61" t="s">
        <v>250</v>
      </c>
      <c r="K121" s="4">
        <v>1145000</v>
      </c>
      <c r="L121" s="39">
        <v>101.70399999999999</v>
      </c>
      <c r="M121" s="4">
        <v>1164511</v>
      </c>
      <c r="N121" s="4">
        <v>1145000</v>
      </c>
      <c r="O121" s="4">
        <v>1145000</v>
      </c>
      <c r="P121" s="4">
        <v>0</v>
      </c>
      <c r="Q121" s="4">
        <v>0</v>
      </c>
      <c r="R121" s="4">
        <v>0</v>
      </c>
      <c r="S121" s="4">
        <v>0</v>
      </c>
      <c r="T121" s="23">
        <v>1.595</v>
      </c>
      <c r="U121" s="23">
        <v>1.595</v>
      </c>
      <c r="V121" s="5" t="s">
        <v>3844</v>
      </c>
      <c r="W121" s="4">
        <v>1522</v>
      </c>
      <c r="X121" s="4">
        <v>6189</v>
      </c>
      <c r="Y121" s="10">
        <v>44035</v>
      </c>
      <c r="Z121" s="10">
        <v>47270</v>
      </c>
      <c r="AA121" s="64" t="s">
        <v>258</v>
      </c>
      <c r="AB121" s="63" t="s">
        <v>3840</v>
      </c>
      <c r="AC121" s="5" t="s">
        <v>9</v>
      </c>
      <c r="AD121" s="2"/>
      <c r="AE121" s="6"/>
      <c r="AF121" s="23"/>
      <c r="AG121" s="6"/>
      <c r="AH121" s="5" t="s">
        <v>3</v>
      </c>
      <c r="AI121" s="5" t="s">
        <v>2723</v>
      </c>
      <c r="AJ121" s="5" t="s">
        <v>3852</v>
      </c>
      <c r="AK121" s="16" t="s">
        <v>3</v>
      </c>
      <c r="AL121" s="65" t="s">
        <v>2715</v>
      </c>
      <c r="AM121" s="31" t="s">
        <v>1351</v>
      </c>
    </row>
    <row r="122" spans="2:39" x14ac:dyDescent="0.25">
      <c r="B122" s="18" t="s">
        <v>1164</v>
      </c>
      <c r="C122" s="44" t="s">
        <v>1641</v>
      </c>
      <c r="D122" s="20" t="s">
        <v>259</v>
      </c>
      <c r="E122" s="67" t="s">
        <v>3</v>
      </c>
      <c r="F122" s="51" t="s">
        <v>3</v>
      </c>
      <c r="G122" s="37" t="s">
        <v>2715</v>
      </c>
      <c r="H122" s="68" t="s">
        <v>2715</v>
      </c>
      <c r="I122" s="62" t="s">
        <v>2218</v>
      </c>
      <c r="J122" s="61" t="s">
        <v>250</v>
      </c>
      <c r="K122" s="4">
        <v>1000000</v>
      </c>
      <c r="L122" s="39">
        <v>101.497</v>
      </c>
      <c r="M122" s="4">
        <v>1014970</v>
      </c>
      <c r="N122" s="4">
        <v>1000000</v>
      </c>
      <c r="O122" s="4">
        <v>1000000</v>
      </c>
      <c r="P122" s="4">
        <v>0</v>
      </c>
      <c r="Q122" s="4">
        <v>0</v>
      </c>
      <c r="R122" s="4">
        <v>0</v>
      </c>
      <c r="S122" s="4">
        <v>0</v>
      </c>
      <c r="T122" s="23">
        <v>1.6950000000000001</v>
      </c>
      <c r="U122" s="23">
        <v>1.6950000000000001</v>
      </c>
      <c r="V122" s="5" t="s">
        <v>3844</v>
      </c>
      <c r="W122" s="4">
        <v>1413</v>
      </c>
      <c r="X122" s="4">
        <v>5744</v>
      </c>
      <c r="Y122" s="10">
        <v>44035</v>
      </c>
      <c r="Z122" s="10">
        <v>47635</v>
      </c>
      <c r="AA122" s="64" t="s">
        <v>258</v>
      </c>
      <c r="AB122" s="63" t="s">
        <v>3840</v>
      </c>
      <c r="AC122" s="5" t="s">
        <v>9</v>
      </c>
      <c r="AD122" s="2"/>
      <c r="AE122" s="6"/>
      <c r="AF122" s="23"/>
      <c r="AG122" s="6"/>
      <c r="AH122" s="5" t="s">
        <v>3</v>
      </c>
      <c r="AI122" s="5" t="s">
        <v>2723</v>
      </c>
      <c r="AJ122" s="5" t="s">
        <v>3852</v>
      </c>
      <c r="AK122" s="16" t="s">
        <v>3</v>
      </c>
      <c r="AL122" s="65" t="s">
        <v>2715</v>
      </c>
      <c r="AM122" s="31" t="s">
        <v>1351</v>
      </c>
    </row>
    <row r="123" spans="2:39" x14ac:dyDescent="0.25">
      <c r="B123" s="18" t="s">
        <v>3084</v>
      </c>
      <c r="C123" s="44" t="s">
        <v>1359</v>
      </c>
      <c r="D123" s="20" t="s">
        <v>259</v>
      </c>
      <c r="E123" s="67" t="s">
        <v>3</v>
      </c>
      <c r="F123" s="51" t="s">
        <v>3</v>
      </c>
      <c r="G123" s="37" t="s">
        <v>2715</v>
      </c>
      <c r="H123" s="68" t="s">
        <v>2715</v>
      </c>
      <c r="I123" s="62" t="s">
        <v>2218</v>
      </c>
      <c r="J123" s="61" t="s">
        <v>250</v>
      </c>
      <c r="K123" s="4">
        <v>1000000</v>
      </c>
      <c r="L123" s="39">
        <v>101.711</v>
      </c>
      <c r="M123" s="4">
        <v>1017110</v>
      </c>
      <c r="N123" s="4">
        <v>1000000</v>
      </c>
      <c r="O123" s="4">
        <v>1000000</v>
      </c>
      <c r="P123" s="4">
        <v>0</v>
      </c>
      <c r="Q123" s="4">
        <v>0</v>
      </c>
      <c r="R123" s="4">
        <v>0</v>
      </c>
      <c r="S123" s="4">
        <v>0</v>
      </c>
      <c r="T123" s="23">
        <v>1.845</v>
      </c>
      <c r="U123" s="23">
        <v>1.845</v>
      </c>
      <c r="V123" s="5" t="s">
        <v>3844</v>
      </c>
      <c r="W123" s="4">
        <v>1538</v>
      </c>
      <c r="X123" s="4">
        <v>6253</v>
      </c>
      <c r="Y123" s="10">
        <v>44035</v>
      </c>
      <c r="Z123" s="10">
        <v>48000</v>
      </c>
      <c r="AA123" s="64" t="s">
        <v>258</v>
      </c>
      <c r="AB123" s="63" t="s">
        <v>3840</v>
      </c>
      <c r="AC123" s="5" t="s">
        <v>9</v>
      </c>
      <c r="AD123" s="2"/>
      <c r="AE123" s="10">
        <v>47635</v>
      </c>
      <c r="AF123" s="23">
        <v>100</v>
      </c>
      <c r="AG123" s="6"/>
      <c r="AH123" s="5" t="s">
        <v>3</v>
      </c>
      <c r="AI123" s="5" t="s">
        <v>2723</v>
      </c>
      <c r="AJ123" s="5" t="s">
        <v>3852</v>
      </c>
      <c r="AK123" s="16" t="s">
        <v>3</v>
      </c>
      <c r="AL123" s="65" t="s">
        <v>2715</v>
      </c>
      <c r="AM123" s="31" t="s">
        <v>1351</v>
      </c>
    </row>
    <row r="124" spans="2:39" x14ac:dyDescent="0.25">
      <c r="B124" s="18" t="s">
        <v>4214</v>
      </c>
      <c r="C124" s="44" t="s">
        <v>911</v>
      </c>
      <c r="D124" s="20" t="s">
        <v>2724</v>
      </c>
      <c r="E124" s="67" t="s">
        <v>3</v>
      </c>
      <c r="F124" s="51" t="s">
        <v>3</v>
      </c>
      <c r="G124" s="37" t="s">
        <v>3</v>
      </c>
      <c r="H124" s="68" t="s">
        <v>2715</v>
      </c>
      <c r="I124" s="62" t="s">
        <v>3538</v>
      </c>
      <c r="J124" s="61" t="s">
        <v>250</v>
      </c>
      <c r="K124" s="4">
        <v>2000000</v>
      </c>
      <c r="L124" s="39">
        <v>108.354</v>
      </c>
      <c r="M124" s="4">
        <v>2167080</v>
      </c>
      <c r="N124" s="4">
        <v>2000000</v>
      </c>
      <c r="O124" s="4">
        <v>2000000</v>
      </c>
      <c r="P124" s="4">
        <v>0</v>
      </c>
      <c r="Q124" s="4">
        <v>0</v>
      </c>
      <c r="R124" s="4">
        <v>0</v>
      </c>
      <c r="S124" s="4">
        <v>0</v>
      </c>
      <c r="T124" s="23">
        <v>2.5880000000000001</v>
      </c>
      <c r="U124" s="23">
        <v>2.5880000000000001</v>
      </c>
      <c r="V124" s="5" t="s">
        <v>3844</v>
      </c>
      <c r="W124" s="4">
        <v>4313</v>
      </c>
      <c r="X124" s="4">
        <v>44284</v>
      </c>
      <c r="Y124" s="10">
        <v>43840</v>
      </c>
      <c r="Z124" s="10">
        <v>46905</v>
      </c>
      <c r="AA124" s="64" t="s">
        <v>3076</v>
      </c>
      <c r="AB124" s="63" t="s">
        <v>3840</v>
      </c>
      <c r="AC124" s="5" t="s">
        <v>9</v>
      </c>
      <c r="AD124" s="2"/>
      <c r="AE124" s="6"/>
      <c r="AF124" s="23"/>
      <c r="AG124" s="6"/>
      <c r="AH124" s="5" t="s">
        <v>3</v>
      </c>
      <c r="AI124" s="5" t="s">
        <v>2445</v>
      </c>
      <c r="AJ124" s="5" t="s">
        <v>3549</v>
      </c>
      <c r="AK124" s="16" t="s">
        <v>3</v>
      </c>
      <c r="AL124" s="65" t="s">
        <v>2715</v>
      </c>
      <c r="AM124" s="31" t="s">
        <v>1161</v>
      </c>
    </row>
    <row r="125" spans="2:39" x14ac:dyDescent="0.25">
      <c r="B125" s="18" t="s">
        <v>912</v>
      </c>
      <c r="C125" s="44" t="s">
        <v>3550</v>
      </c>
      <c r="D125" s="20" t="s">
        <v>2724</v>
      </c>
      <c r="E125" s="67" t="s">
        <v>3</v>
      </c>
      <c r="F125" s="51" t="s">
        <v>3</v>
      </c>
      <c r="G125" s="37" t="s">
        <v>3</v>
      </c>
      <c r="H125" s="68" t="s">
        <v>2715</v>
      </c>
      <c r="I125" s="62" t="s">
        <v>3538</v>
      </c>
      <c r="J125" s="61" t="s">
        <v>250</v>
      </c>
      <c r="K125" s="4">
        <v>2070000</v>
      </c>
      <c r="L125" s="39">
        <v>106.95099999999999</v>
      </c>
      <c r="M125" s="4">
        <v>2213886</v>
      </c>
      <c r="N125" s="4">
        <v>2070000</v>
      </c>
      <c r="O125" s="4">
        <v>2070000</v>
      </c>
      <c r="P125" s="4">
        <v>0</v>
      </c>
      <c r="Q125" s="4">
        <v>0</v>
      </c>
      <c r="R125" s="4">
        <v>0</v>
      </c>
      <c r="S125" s="4">
        <v>0</v>
      </c>
      <c r="T125" s="23">
        <v>2.419</v>
      </c>
      <c r="U125" s="23">
        <v>2.419</v>
      </c>
      <c r="V125" s="5" t="s">
        <v>3844</v>
      </c>
      <c r="W125" s="4">
        <v>4173</v>
      </c>
      <c r="X125" s="4">
        <v>42840</v>
      </c>
      <c r="Y125" s="10">
        <v>43840</v>
      </c>
      <c r="Z125" s="10">
        <v>46539</v>
      </c>
      <c r="AA125" s="64" t="s">
        <v>3076</v>
      </c>
      <c r="AB125" s="63" t="s">
        <v>3840</v>
      </c>
      <c r="AC125" s="5" t="s">
        <v>9</v>
      </c>
      <c r="AD125" s="2"/>
      <c r="AE125" s="6"/>
      <c r="AF125" s="23"/>
      <c r="AG125" s="6"/>
      <c r="AH125" s="5" t="s">
        <v>3</v>
      </c>
      <c r="AI125" s="5" t="s">
        <v>2445</v>
      </c>
      <c r="AJ125" s="5" t="s">
        <v>3549</v>
      </c>
      <c r="AK125" s="16" t="s">
        <v>3</v>
      </c>
      <c r="AL125" s="65" t="s">
        <v>2715</v>
      </c>
      <c r="AM125" s="31" t="s">
        <v>1161</v>
      </c>
    </row>
    <row r="126" spans="2:39" x14ac:dyDescent="0.25">
      <c r="B126" s="18" t="s">
        <v>1997</v>
      </c>
      <c r="C126" s="44" t="s">
        <v>3551</v>
      </c>
      <c r="D126" s="20" t="s">
        <v>2724</v>
      </c>
      <c r="E126" s="67" t="s">
        <v>3</v>
      </c>
      <c r="F126" s="51" t="s">
        <v>3</v>
      </c>
      <c r="G126" s="37" t="s">
        <v>3</v>
      </c>
      <c r="H126" s="68" t="s">
        <v>2715</v>
      </c>
      <c r="I126" s="62" t="s">
        <v>3538</v>
      </c>
      <c r="J126" s="61" t="s">
        <v>250</v>
      </c>
      <c r="K126" s="4">
        <v>1555000</v>
      </c>
      <c r="L126" s="39">
        <v>108.354</v>
      </c>
      <c r="M126" s="4">
        <v>1684905</v>
      </c>
      <c r="N126" s="4">
        <v>1555000</v>
      </c>
      <c r="O126" s="4">
        <v>1555000</v>
      </c>
      <c r="P126" s="4">
        <v>0</v>
      </c>
      <c r="Q126" s="4">
        <v>0</v>
      </c>
      <c r="R126" s="4">
        <v>0</v>
      </c>
      <c r="S126" s="4">
        <v>0</v>
      </c>
      <c r="T126" s="23">
        <v>2.5880000000000001</v>
      </c>
      <c r="U126" s="23">
        <v>2.5880000000000001</v>
      </c>
      <c r="V126" s="5" t="s">
        <v>3844</v>
      </c>
      <c r="W126" s="4">
        <v>3354</v>
      </c>
      <c r="X126" s="4">
        <v>34430</v>
      </c>
      <c r="Y126" s="10">
        <v>43840</v>
      </c>
      <c r="Z126" s="10">
        <v>46905</v>
      </c>
      <c r="AA126" s="64" t="s">
        <v>3076</v>
      </c>
      <c r="AB126" s="63" t="s">
        <v>3840</v>
      </c>
      <c r="AC126" s="5" t="s">
        <v>9</v>
      </c>
      <c r="AD126" s="2"/>
      <c r="AE126" s="6"/>
      <c r="AF126" s="23"/>
      <c r="AG126" s="6"/>
      <c r="AH126" s="5" t="s">
        <v>3</v>
      </c>
      <c r="AI126" s="5" t="s">
        <v>2445</v>
      </c>
      <c r="AJ126" s="5" t="s">
        <v>3549</v>
      </c>
      <c r="AK126" s="16" t="s">
        <v>3</v>
      </c>
      <c r="AL126" s="65" t="s">
        <v>2715</v>
      </c>
      <c r="AM126" s="31" t="s">
        <v>1161</v>
      </c>
    </row>
    <row r="127" spans="2:39" x14ac:dyDescent="0.25">
      <c r="B127" s="18" t="s">
        <v>3085</v>
      </c>
      <c r="C127" s="44" t="s">
        <v>20</v>
      </c>
      <c r="D127" s="20" t="s">
        <v>560</v>
      </c>
      <c r="E127" s="67" t="s">
        <v>3</v>
      </c>
      <c r="F127" s="51" t="s">
        <v>3</v>
      </c>
      <c r="G127" s="37" t="s">
        <v>3</v>
      </c>
      <c r="H127" s="68" t="s">
        <v>2715</v>
      </c>
      <c r="I127" s="62" t="s">
        <v>10</v>
      </c>
      <c r="J127" s="61" t="s">
        <v>250</v>
      </c>
      <c r="K127" s="4">
        <v>2600000</v>
      </c>
      <c r="L127" s="39">
        <v>104.751</v>
      </c>
      <c r="M127" s="4">
        <v>2723526</v>
      </c>
      <c r="N127" s="4">
        <v>2600000</v>
      </c>
      <c r="O127" s="4">
        <v>2600000</v>
      </c>
      <c r="P127" s="4">
        <v>0</v>
      </c>
      <c r="Q127" s="4">
        <v>0</v>
      </c>
      <c r="R127" s="4">
        <v>0</v>
      </c>
      <c r="S127" s="4">
        <v>0</v>
      </c>
      <c r="T127" s="23">
        <v>2.0680000000000001</v>
      </c>
      <c r="U127" s="23">
        <v>2.0680000000000001</v>
      </c>
      <c r="V127" s="5" t="s">
        <v>3843</v>
      </c>
      <c r="W127" s="4">
        <v>13442</v>
      </c>
      <c r="X127" s="4">
        <v>53768</v>
      </c>
      <c r="Y127" s="10">
        <v>42544</v>
      </c>
      <c r="Z127" s="10">
        <v>45200</v>
      </c>
      <c r="AA127" s="64" t="s">
        <v>2725</v>
      </c>
      <c r="AB127" s="63" t="s">
        <v>3840</v>
      </c>
      <c r="AC127" s="5" t="s">
        <v>9</v>
      </c>
      <c r="AD127" s="2"/>
      <c r="AE127" s="6"/>
      <c r="AF127" s="23"/>
      <c r="AG127" s="6"/>
      <c r="AH127" s="5" t="s">
        <v>3</v>
      </c>
      <c r="AI127" s="5" t="s">
        <v>1998</v>
      </c>
      <c r="AJ127" s="5" t="s">
        <v>1998</v>
      </c>
      <c r="AK127" s="16" t="s">
        <v>3</v>
      </c>
      <c r="AL127" s="65" t="s">
        <v>2715</v>
      </c>
      <c r="AM127" s="31" t="s">
        <v>1992</v>
      </c>
    </row>
    <row r="128" spans="2:39" x14ac:dyDescent="0.25">
      <c r="B128" s="18" t="s">
        <v>4215</v>
      </c>
      <c r="C128" s="44" t="s">
        <v>1642</v>
      </c>
      <c r="D128" s="20" t="s">
        <v>913</v>
      </c>
      <c r="E128" s="67" t="s">
        <v>3</v>
      </c>
      <c r="F128" s="51" t="s">
        <v>3</v>
      </c>
      <c r="G128" s="37" t="s">
        <v>2715</v>
      </c>
      <c r="H128" s="68" t="s">
        <v>2715</v>
      </c>
      <c r="I128" s="62" t="s">
        <v>1157</v>
      </c>
      <c r="J128" s="61" t="s">
        <v>250</v>
      </c>
      <c r="K128" s="4">
        <v>1000000</v>
      </c>
      <c r="L128" s="39">
        <v>104.57299999999999</v>
      </c>
      <c r="M128" s="4">
        <v>1045730</v>
      </c>
      <c r="N128" s="4">
        <v>1000000</v>
      </c>
      <c r="O128" s="4">
        <v>1000000</v>
      </c>
      <c r="P128" s="4">
        <v>0</v>
      </c>
      <c r="Q128" s="4">
        <v>0</v>
      </c>
      <c r="R128" s="4">
        <v>0</v>
      </c>
      <c r="S128" s="4">
        <v>0</v>
      </c>
      <c r="T128" s="23">
        <v>2.5019999999999998</v>
      </c>
      <c r="U128" s="23">
        <v>2.5019999999999998</v>
      </c>
      <c r="V128" s="5" t="s">
        <v>3844</v>
      </c>
      <c r="W128" s="4">
        <v>2085</v>
      </c>
      <c r="X128" s="4">
        <v>22032</v>
      </c>
      <c r="Y128" s="10">
        <v>43837</v>
      </c>
      <c r="Z128" s="10">
        <v>46905</v>
      </c>
      <c r="AA128" s="64" t="s">
        <v>3086</v>
      </c>
      <c r="AB128" s="63" t="s">
        <v>3840</v>
      </c>
      <c r="AC128" s="5" t="s">
        <v>9</v>
      </c>
      <c r="AD128" s="2"/>
      <c r="AE128" s="6"/>
      <c r="AF128" s="23"/>
      <c r="AG128" s="6"/>
      <c r="AH128" s="5" t="s">
        <v>3</v>
      </c>
      <c r="AI128" s="5" t="s">
        <v>913</v>
      </c>
      <c r="AJ128" s="5" t="s">
        <v>3</v>
      </c>
      <c r="AK128" s="16" t="s">
        <v>3</v>
      </c>
      <c r="AL128" s="65" t="s">
        <v>3842</v>
      </c>
      <c r="AM128" s="31" t="s">
        <v>1631</v>
      </c>
    </row>
    <row r="129" spans="2:39" x14ac:dyDescent="0.25">
      <c r="B129" s="18" t="s">
        <v>1165</v>
      </c>
      <c r="C129" s="44" t="s">
        <v>1643</v>
      </c>
      <c r="D129" s="20" t="s">
        <v>4216</v>
      </c>
      <c r="E129" s="67" t="s">
        <v>3</v>
      </c>
      <c r="F129" s="51" t="s">
        <v>3</v>
      </c>
      <c r="G129" s="37" t="s">
        <v>2715</v>
      </c>
      <c r="H129" s="68" t="s">
        <v>2715</v>
      </c>
      <c r="I129" s="62" t="s">
        <v>3310</v>
      </c>
      <c r="J129" s="61" t="s">
        <v>250</v>
      </c>
      <c r="K129" s="4">
        <v>5000000</v>
      </c>
      <c r="L129" s="39">
        <v>108.69499999999999</v>
      </c>
      <c r="M129" s="4">
        <v>5434750</v>
      </c>
      <c r="N129" s="4">
        <v>5000000</v>
      </c>
      <c r="O129" s="4">
        <v>5000000</v>
      </c>
      <c r="P129" s="4">
        <v>0</v>
      </c>
      <c r="Q129" s="4">
        <v>0</v>
      </c>
      <c r="R129" s="4">
        <v>0</v>
      </c>
      <c r="S129" s="4">
        <v>0</v>
      </c>
      <c r="T129" s="23">
        <v>2.3290000000000002</v>
      </c>
      <c r="U129" s="23">
        <v>2.3290000000000002</v>
      </c>
      <c r="V129" s="5" t="s">
        <v>3312</v>
      </c>
      <c r="W129" s="4">
        <v>19408</v>
      </c>
      <c r="X129" s="4">
        <v>78927</v>
      </c>
      <c r="Y129" s="11">
        <v>43867</v>
      </c>
      <c r="Z129" s="11">
        <v>48153</v>
      </c>
      <c r="AA129" s="64" t="s">
        <v>2725</v>
      </c>
      <c r="AB129" s="63" t="s">
        <v>3840</v>
      </c>
      <c r="AC129" s="5" t="s">
        <v>9</v>
      </c>
      <c r="AD129" s="2"/>
      <c r="AE129" s="9"/>
      <c r="AF129" s="23"/>
      <c r="AG129" s="6"/>
      <c r="AH129" s="5" t="s">
        <v>3</v>
      </c>
      <c r="AI129" s="5" t="s">
        <v>4216</v>
      </c>
      <c r="AJ129" s="5" t="s">
        <v>3</v>
      </c>
      <c r="AK129" s="16" t="s">
        <v>3</v>
      </c>
      <c r="AL129" s="65" t="s">
        <v>2715</v>
      </c>
      <c r="AM129" s="31" t="s">
        <v>2217</v>
      </c>
    </row>
    <row r="130" spans="2:39" x14ac:dyDescent="0.25">
      <c r="B130" s="18" t="s">
        <v>2228</v>
      </c>
      <c r="C130" s="44" t="s">
        <v>2446</v>
      </c>
      <c r="D130" s="20" t="s">
        <v>4217</v>
      </c>
      <c r="E130" s="67" t="s">
        <v>2224</v>
      </c>
      <c r="F130" s="51" t="s">
        <v>3</v>
      </c>
      <c r="G130" s="37" t="s">
        <v>3</v>
      </c>
      <c r="H130" s="68" t="s">
        <v>2715</v>
      </c>
      <c r="I130" s="62" t="s">
        <v>10</v>
      </c>
      <c r="J130" s="61" t="s">
        <v>250</v>
      </c>
      <c r="K130" s="4">
        <v>2794111</v>
      </c>
      <c r="L130" s="39">
        <v>98.995000000000005</v>
      </c>
      <c r="M130" s="4">
        <v>3959800</v>
      </c>
      <c r="N130" s="4">
        <v>4000000</v>
      </c>
      <c r="O130" s="4">
        <v>3571207</v>
      </c>
      <c r="P130" s="4">
        <v>0</v>
      </c>
      <c r="Q130" s="4">
        <v>155835</v>
      </c>
      <c r="R130" s="4">
        <v>0</v>
      </c>
      <c r="S130" s="4">
        <v>0</v>
      </c>
      <c r="T130" s="23">
        <v>0</v>
      </c>
      <c r="U130" s="23">
        <v>4.5140000000000002</v>
      </c>
      <c r="V130" s="5" t="s">
        <v>3849</v>
      </c>
      <c r="W130" s="4">
        <v>0</v>
      </c>
      <c r="X130" s="4">
        <v>0</v>
      </c>
      <c r="Y130" s="11">
        <v>42277</v>
      </c>
      <c r="Z130" s="11">
        <v>45122</v>
      </c>
      <c r="AA130" s="64" t="s">
        <v>914</v>
      </c>
      <c r="AB130" s="63" t="s">
        <v>3840</v>
      </c>
      <c r="AC130" s="5" t="s">
        <v>9</v>
      </c>
      <c r="AD130" s="2"/>
      <c r="AE130" s="6"/>
      <c r="AF130" s="23"/>
      <c r="AG130" s="6"/>
      <c r="AH130" s="5" t="s">
        <v>3</v>
      </c>
      <c r="AI130" s="5" t="s">
        <v>21</v>
      </c>
      <c r="AJ130" s="5" t="s">
        <v>1360</v>
      </c>
      <c r="AK130" s="16" t="s">
        <v>3</v>
      </c>
      <c r="AL130" s="65" t="s">
        <v>3842</v>
      </c>
      <c r="AM130" s="31" t="s">
        <v>1992</v>
      </c>
    </row>
    <row r="131" spans="2:39" x14ac:dyDescent="0.25">
      <c r="B131" s="18" t="s">
        <v>3321</v>
      </c>
      <c r="C131" s="44" t="s">
        <v>3552</v>
      </c>
      <c r="D131" s="20" t="s">
        <v>4218</v>
      </c>
      <c r="E131" s="67" t="s">
        <v>3</v>
      </c>
      <c r="F131" s="51" t="s">
        <v>3</v>
      </c>
      <c r="G131" s="37" t="s">
        <v>3</v>
      </c>
      <c r="H131" s="68" t="s">
        <v>2715</v>
      </c>
      <c r="I131" s="62" t="s">
        <v>10</v>
      </c>
      <c r="J131" s="61" t="s">
        <v>250</v>
      </c>
      <c r="K131" s="4">
        <v>750000</v>
      </c>
      <c r="L131" s="39">
        <v>102.113</v>
      </c>
      <c r="M131" s="4">
        <v>765848</v>
      </c>
      <c r="N131" s="4">
        <v>750000</v>
      </c>
      <c r="O131" s="4">
        <v>750000</v>
      </c>
      <c r="P131" s="4">
        <v>0</v>
      </c>
      <c r="Q131" s="4">
        <v>0</v>
      </c>
      <c r="R131" s="4">
        <v>0</v>
      </c>
      <c r="S131" s="4">
        <v>0</v>
      </c>
      <c r="T131" s="23">
        <v>1.9590000000000001</v>
      </c>
      <c r="U131" s="23">
        <v>1.9590000000000001</v>
      </c>
      <c r="V131" s="5" t="s">
        <v>1982</v>
      </c>
      <c r="W131" s="4">
        <v>7346</v>
      </c>
      <c r="X131" s="4">
        <v>14693</v>
      </c>
      <c r="Y131" s="11">
        <v>42529</v>
      </c>
      <c r="Z131" s="11">
        <v>44743</v>
      </c>
      <c r="AA131" s="64" t="s">
        <v>3087</v>
      </c>
      <c r="AB131" s="63" t="s">
        <v>3840</v>
      </c>
      <c r="AC131" s="5" t="s">
        <v>9</v>
      </c>
      <c r="AD131" s="2"/>
      <c r="AE131" s="6"/>
      <c r="AF131" s="23"/>
      <c r="AG131" s="6"/>
      <c r="AH131" s="5" t="s">
        <v>3088</v>
      </c>
      <c r="AI131" s="5" t="s">
        <v>2229</v>
      </c>
      <c r="AJ131" s="5" t="s">
        <v>2726</v>
      </c>
      <c r="AK131" s="16" t="s">
        <v>3</v>
      </c>
      <c r="AL131" s="65" t="s">
        <v>2715</v>
      </c>
      <c r="AM131" s="31" t="s">
        <v>1992</v>
      </c>
    </row>
    <row r="132" spans="2:39" x14ac:dyDescent="0.25">
      <c r="B132" s="18" t="s">
        <v>22</v>
      </c>
      <c r="C132" s="44" t="s">
        <v>260</v>
      </c>
      <c r="D132" s="20" t="s">
        <v>4218</v>
      </c>
      <c r="E132" s="67" t="s">
        <v>3</v>
      </c>
      <c r="F132" s="51" t="s">
        <v>3</v>
      </c>
      <c r="G132" s="37" t="s">
        <v>3</v>
      </c>
      <c r="H132" s="68" t="s">
        <v>2715</v>
      </c>
      <c r="I132" s="62" t="s">
        <v>10</v>
      </c>
      <c r="J132" s="61" t="s">
        <v>250</v>
      </c>
      <c r="K132" s="4">
        <v>750000</v>
      </c>
      <c r="L132" s="39">
        <v>103.611</v>
      </c>
      <c r="M132" s="4">
        <v>777083</v>
      </c>
      <c r="N132" s="4">
        <v>750000</v>
      </c>
      <c r="O132" s="4">
        <v>750000</v>
      </c>
      <c r="P132" s="4">
        <v>0</v>
      </c>
      <c r="Q132" s="4">
        <v>0</v>
      </c>
      <c r="R132" s="4">
        <v>0</v>
      </c>
      <c r="S132" s="4">
        <v>0</v>
      </c>
      <c r="T132" s="23">
        <v>2.1589999999999998</v>
      </c>
      <c r="U132" s="23">
        <v>2.1589999999999998</v>
      </c>
      <c r="V132" s="5" t="s">
        <v>1982</v>
      </c>
      <c r="W132" s="4">
        <v>8096</v>
      </c>
      <c r="X132" s="4">
        <v>16193</v>
      </c>
      <c r="Y132" s="11">
        <v>42529</v>
      </c>
      <c r="Z132" s="11">
        <v>45108</v>
      </c>
      <c r="AA132" s="64" t="s">
        <v>3087</v>
      </c>
      <c r="AB132" s="63" t="s">
        <v>3840</v>
      </c>
      <c r="AC132" s="5" t="s">
        <v>9</v>
      </c>
      <c r="AD132" s="2"/>
      <c r="AE132" s="6"/>
      <c r="AF132" s="23"/>
      <c r="AG132" s="6"/>
      <c r="AH132" s="5" t="s">
        <v>3088</v>
      </c>
      <c r="AI132" s="5" t="s">
        <v>2229</v>
      </c>
      <c r="AJ132" s="5" t="s">
        <v>2726</v>
      </c>
      <c r="AK132" s="16" t="s">
        <v>3</v>
      </c>
      <c r="AL132" s="65" t="s">
        <v>2715</v>
      </c>
      <c r="AM132" s="31" t="s">
        <v>1992</v>
      </c>
    </row>
    <row r="133" spans="2:39" x14ac:dyDescent="0.25">
      <c r="B133" s="18" t="s">
        <v>1999</v>
      </c>
      <c r="C133" s="44" t="s">
        <v>915</v>
      </c>
      <c r="D133" s="20" t="s">
        <v>3553</v>
      </c>
      <c r="E133" s="67" t="s">
        <v>3</v>
      </c>
      <c r="F133" s="51" t="s">
        <v>3</v>
      </c>
      <c r="G133" s="37" t="s">
        <v>3</v>
      </c>
      <c r="H133" s="68" t="s">
        <v>2715</v>
      </c>
      <c r="I133" s="62" t="s">
        <v>3538</v>
      </c>
      <c r="J133" s="61" t="s">
        <v>250</v>
      </c>
      <c r="K133" s="4">
        <v>5500000</v>
      </c>
      <c r="L133" s="39">
        <v>103.587</v>
      </c>
      <c r="M133" s="4">
        <v>5697285</v>
      </c>
      <c r="N133" s="4">
        <v>5500000</v>
      </c>
      <c r="O133" s="4">
        <v>5500000</v>
      </c>
      <c r="P133" s="4">
        <v>0</v>
      </c>
      <c r="Q133" s="4">
        <v>0</v>
      </c>
      <c r="R133" s="4">
        <v>0</v>
      </c>
      <c r="S133" s="4">
        <v>0</v>
      </c>
      <c r="T133" s="23">
        <v>3.2269999999999999</v>
      </c>
      <c r="U133" s="23">
        <v>3.2269999999999999</v>
      </c>
      <c r="V133" s="5" t="s">
        <v>3843</v>
      </c>
      <c r="W133" s="4">
        <v>37469</v>
      </c>
      <c r="X133" s="4">
        <v>177485</v>
      </c>
      <c r="Y133" s="11">
        <v>42229</v>
      </c>
      <c r="Z133" s="11">
        <v>44666</v>
      </c>
      <c r="AA133" s="64" t="s">
        <v>2230</v>
      </c>
      <c r="AB133" s="63" t="s">
        <v>3840</v>
      </c>
      <c r="AC133" s="5" t="s">
        <v>9</v>
      </c>
      <c r="AD133" s="2"/>
      <c r="AE133" s="6"/>
      <c r="AF133" s="23"/>
      <c r="AG133" s="6"/>
      <c r="AH133" s="5" t="s">
        <v>3</v>
      </c>
      <c r="AI133" s="5" t="s">
        <v>2000</v>
      </c>
      <c r="AJ133" s="5" t="s">
        <v>3089</v>
      </c>
      <c r="AK133" s="16" t="s">
        <v>3</v>
      </c>
      <c r="AL133" s="65" t="s">
        <v>3842</v>
      </c>
      <c r="AM133" s="31" t="s">
        <v>1161</v>
      </c>
    </row>
    <row r="134" spans="2:39" x14ac:dyDescent="0.25">
      <c r="B134" s="18" t="s">
        <v>3090</v>
      </c>
      <c r="C134" s="44" t="s">
        <v>1166</v>
      </c>
      <c r="D134" s="20" t="s">
        <v>1644</v>
      </c>
      <c r="E134" s="67" t="s">
        <v>3</v>
      </c>
      <c r="F134" s="51" t="s">
        <v>3</v>
      </c>
      <c r="G134" s="37" t="s">
        <v>2715</v>
      </c>
      <c r="H134" s="68" t="s">
        <v>2715</v>
      </c>
      <c r="I134" s="62" t="s">
        <v>2218</v>
      </c>
      <c r="J134" s="61" t="s">
        <v>250</v>
      </c>
      <c r="K134" s="4">
        <v>2500000</v>
      </c>
      <c r="L134" s="39">
        <v>102.643</v>
      </c>
      <c r="M134" s="4">
        <v>2566075</v>
      </c>
      <c r="N134" s="4">
        <v>2500000</v>
      </c>
      <c r="O134" s="4">
        <v>2500000</v>
      </c>
      <c r="P134" s="4">
        <v>0</v>
      </c>
      <c r="Q134" s="4">
        <v>0</v>
      </c>
      <c r="R134" s="4">
        <v>0</v>
      </c>
      <c r="S134" s="4">
        <v>0</v>
      </c>
      <c r="T134" s="23">
        <v>2.0979999999999999</v>
      </c>
      <c r="U134" s="23">
        <v>2.0979999999999999</v>
      </c>
      <c r="V134" s="5" t="s">
        <v>3312</v>
      </c>
      <c r="W134" s="4">
        <v>8742</v>
      </c>
      <c r="X134" s="4">
        <v>8450</v>
      </c>
      <c r="Y134" s="11">
        <v>44064</v>
      </c>
      <c r="Z134" s="11">
        <v>48700</v>
      </c>
      <c r="AA134" s="64" t="s">
        <v>2727</v>
      </c>
      <c r="AB134" s="63" t="s">
        <v>3840</v>
      </c>
      <c r="AC134" s="5" t="s">
        <v>9</v>
      </c>
      <c r="AD134" s="2"/>
      <c r="AE134" s="9"/>
      <c r="AF134" s="23"/>
      <c r="AG134" s="6"/>
      <c r="AH134" s="5" t="s">
        <v>3</v>
      </c>
      <c r="AI134" s="5" t="s">
        <v>4219</v>
      </c>
      <c r="AJ134" s="5" t="s">
        <v>1167</v>
      </c>
      <c r="AK134" s="16" t="s">
        <v>3</v>
      </c>
      <c r="AL134" s="65" t="s">
        <v>3842</v>
      </c>
      <c r="AM134" s="31" t="s">
        <v>1351</v>
      </c>
    </row>
    <row r="135" spans="2:39" x14ac:dyDescent="0.25">
      <c r="B135" s="18" t="s">
        <v>4220</v>
      </c>
      <c r="C135" s="44" t="s">
        <v>916</v>
      </c>
      <c r="D135" s="20" t="s">
        <v>261</v>
      </c>
      <c r="E135" s="67" t="s">
        <v>3</v>
      </c>
      <c r="F135" s="51" t="s">
        <v>3</v>
      </c>
      <c r="G135" s="37" t="s">
        <v>3</v>
      </c>
      <c r="H135" s="68" t="s">
        <v>2715</v>
      </c>
      <c r="I135" s="62" t="s">
        <v>252</v>
      </c>
      <c r="J135" s="61" t="s">
        <v>250</v>
      </c>
      <c r="K135" s="4">
        <v>2450000</v>
      </c>
      <c r="L135" s="39">
        <v>100.818</v>
      </c>
      <c r="M135" s="4">
        <v>2470041</v>
      </c>
      <c r="N135" s="4">
        <v>2450000</v>
      </c>
      <c r="O135" s="4">
        <v>2450000</v>
      </c>
      <c r="P135" s="4">
        <v>0</v>
      </c>
      <c r="Q135" s="4">
        <v>0</v>
      </c>
      <c r="R135" s="4">
        <v>0</v>
      </c>
      <c r="S135" s="4">
        <v>0</v>
      </c>
      <c r="T135" s="23">
        <v>2.984</v>
      </c>
      <c r="U135" s="23">
        <v>2.984</v>
      </c>
      <c r="V135" s="5" t="s">
        <v>1982</v>
      </c>
      <c r="W135" s="4">
        <v>36554</v>
      </c>
      <c r="X135" s="4">
        <v>73108</v>
      </c>
      <c r="Y135" s="11">
        <v>41801</v>
      </c>
      <c r="Z135" s="11">
        <v>44378</v>
      </c>
      <c r="AA135" s="64" t="s">
        <v>23</v>
      </c>
      <c r="AB135" s="63" t="s">
        <v>3840</v>
      </c>
      <c r="AC135" s="5" t="s">
        <v>9</v>
      </c>
      <c r="AD135" s="2"/>
      <c r="AE135" s="9"/>
      <c r="AF135" s="23"/>
      <c r="AG135" s="9"/>
      <c r="AH135" s="5" t="s">
        <v>3</v>
      </c>
      <c r="AI135" s="5" t="s">
        <v>561</v>
      </c>
      <c r="AJ135" s="5" t="s">
        <v>561</v>
      </c>
      <c r="AK135" s="16" t="s">
        <v>3</v>
      </c>
      <c r="AL135" s="65" t="s">
        <v>3842</v>
      </c>
      <c r="AM135" s="31" t="s">
        <v>898</v>
      </c>
    </row>
    <row r="136" spans="2:39" x14ac:dyDescent="0.25">
      <c r="B136" s="18" t="s">
        <v>917</v>
      </c>
      <c r="C136" s="44" t="s">
        <v>24</v>
      </c>
      <c r="D136" s="20" t="s">
        <v>3091</v>
      </c>
      <c r="E136" s="67" t="s">
        <v>2224</v>
      </c>
      <c r="F136" s="51" t="s">
        <v>3</v>
      </c>
      <c r="G136" s="37" t="s">
        <v>3</v>
      </c>
      <c r="H136" s="68" t="s">
        <v>2715</v>
      </c>
      <c r="I136" s="62" t="s">
        <v>1358</v>
      </c>
      <c r="J136" s="61" t="s">
        <v>250</v>
      </c>
      <c r="K136" s="4">
        <v>1722967</v>
      </c>
      <c r="L136" s="39">
        <v>93.495999999999995</v>
      </c>
      <c r="M136" s="4">
        <v>2968498</v>
      </c>
      <c r="N136" s="4">
        <v>3175000</v>
      </c>
      <c r="O136" s="4">
        <v>2294498</v>
      </c>
      <c r="P136" s="4">
        <v>0</v>
      </c>
      <c r="Q136" s="4">
        <v>121783</v>
      </c>
      <c r="R136" s="4">
        <v>0</v>
      </c>
      <c r="S136" s="4">
        <v>0</v>
      </c>
      <c r="T136" s="23">
        <v>0</v>
      </c>
      <c r="U136" s="23">
        <v>5.5289999999999999</v>
      </c>
      <c r="V136" s="5" t="s">
        <v>3849</v>
      </c>
      <c r="W136" s="4">
        <v>0</v>
      </c>
      <c r="X136" s="4">
        <v>0</v>
      </c>
      <c r="Y136" s="11">
        <v>42277</v>
      </c>
      <c r="Z136" s="11">
        <v>46371</v>
      </c>
      <c r="AA136" s="64" t="s">
        <v>1993</v>
      </c>
      <c r="AB136" s="63" t="s">
        <v>3840</v>
      </c>
      <c r="AC136" s="5" t="s">
        <v>9</v>
      </c>
      <c r="AD136" s="2"/>
      <c r="AE136" s="9"/>
      <c r="AF136" s="23"/>
      <c r="AG136" s="6"/>
      <c r="AH136" s="5" t="s">
        <v>562</v>
      </c>
      <c r="AI136" s="5" t="s">
        <v>1168</v>
      </c>
      <c r="AJ136" s="5" t="s">
        <v>1360</v>
      </c>
      <c r="AK136" s="16" t="s">
        <v>3</v>
      </c>
      <c r="AL136" s="65" t="s">
        <v>3842</v>
      </c>
      <c r="AM136" s="31" t="s">
        <v>559</v>
      </c>
    </row>
    <row r="137" spans="2:39" x14ac:dyDescent="0.25">
      <c r="B137" s="18" t="s">
        <v>2001</v>
      </c>
      <c r="C137" s="44" t="s">
        <v>3853</v>
      </c>
      <c r="D137" s="20" t="s">
        <v>3092</v>
      </c>
      <c r="E137" s="67" t="s">
        <v>3</v>
      </c>
      <c r="F137" s="51" t="s">
        <v>3</v>
      </c>
      <c r="G137" s="37" t="s">
        <v>2715</v>
      </c>
      <c r="H137" s="68" t="s">
        <v>2715</v>
      </c>
      <c r="I137" s="62" t="s">
        <v>3310</v>
      </c>
      <c r="J137" s="61" t="s">
        <v>250</v>
      </c>
      <c r="K137" s="4">
        <v>1000000</v>
      </c>
      <c r="L137" s="39">
        <v>124.39400000000001</v>
      </c>
      <c r="M137" s="4">
        <v>1243940</v>
      </c>
      <c r="N137" s="4">
        <v>1000000</v>
      </c>
      <c r="O137" s="4">
        <v>1000000</v>
      </c>
      <c r="P137" s="4">
        <v>0</v>
      </c>
      <c r="Q137" s="4">
        <v>0</v>
      </c>
      <c r="R137" s="4">
        <v>0</v>
      </c>
      <c r="S137" s="4">
        <v>0</v>
      </c>
      <c r="T137" s="23">
        <v>5.2670000000000003</v>
      </c>
      <c r="U137" s="23">
        <v>5.2670000000000003</v>
      </c>
      <c r="V137" s="5" t="s">
        <v>3312</v>
      </c>
      <c r="W137" s="4">
        <v>8778</v>
      </c>
      <c r="X137" s="4">
        <v>52670</v>
      </c>
      <c r="Y137" s="11">
        <v>42277</v>
      </c>
      <c r="Z137" s="11">
        <v>46508</v>
      </c>
      <c r="AA137" s="64" t="s">
        <v>1356</v>
      </c>
      <c r="AB137" s="63" t="s">
        <v>3840</v>
      </c>
      <c r="AC137" s="5" t="s">
        <v>9</v>
      </c>
      <c r="AD137" s="2"/>
      <c r="AE137" s="6"/>
      <c r="AF137" s="23"/>
      <c r="AG137" s="6"/>
      <c r="AH137" s="5" t="s">
        <v>3</v>
      </c>
      <c r="AI137" s="5" t="s">
        <v>3092</v>
      </c>
      <c r="AJ137" s="5" t="s">
        <v>3</v>
      </c>
      <c r="AK137" s="16" t="s">
        <v>3</v>
      </c>
      <c r="AL137" s="65" t="s">
        <v>3842</v>
      </c>
      <c r="AM137" s="31" t="s">
        <v>2217</v>
      </c>
    </row>
    <row r="138" spans="2:39" x14ac:dyDescent="0.25">
      <c r="B138" s="18" t="s">
        <v>3322</v>
      </c>
      <c r="C138" s="44" t="s">
        <v>2728</v>
      </c>
      <c r="D138" s="20" t="s">
        <v>262</v>
      </c>
      <c r="E138" s="67" t="s">
        <v>3</v>
      </c>
      <c r="F138" s="51" t="s">
        <v>3</v>
      </c>
      <c r="G138" s="37" t="s">
        <v>3</v>
      </c>
      <c r="H138" s="68" t="s">
        <v>2715</v>
      </c>
      <c r="I138" s="62" t="s">
        <v>3310</v>
      </c>
      <c r="J138" s="61" t="s">
        <v>250</v>
      </c>
      <c r="K138" s="4">
        <v>4800000</v>
      </c>
      <c r="L138" s="39">
        <v>103.599</v>
      </c>
      <c r="M138" s="4">
        <v>4972751</v>
      </c>
      <c r="N138" s="4">
        <v>4800000</v>
      </c>
      <c r="O138" s="4">
        <v>4800000</v>
      </c>
      <c r="P138" s="4">
        <v>0</v>
      </c>
      <c r="Q138" s="4">
        <v>0</v>
      </c>
      <c r="R138" s="4">
        <v>0</v>
      </c>
      <c r="S138" s="4">
        <v>0</v>
      </c>
      <c r="T138" s="23">
        <v>2.31</v>
      </c>
      <c r="U138" s="23">
        <v>2.31</v>
      </c>
      <c r="V138" s="5" t="s">
        <v>248</v>
      </c>
      <c r="W138" s="4">
        <v>46200</v>
      </c>
      <c r="X138" s="4">
        <v>110880</v>
      </c>
      <c r="Y138" s="11">
        <v>42473</v>
      </c>
      <c r="Z138" s="11">
        <v>44958</v>
      </c>
      <c r="AA138" s="64" t="s">
        <v>1356</v>
      </c>
      <c r="AB138" s="63" t="s">
        <v>3840</v>
      </c>
      <c r="AC138" s="5" t="s">
        <v>9</v>
      </c>
      <c r="AD138" s="2"/>
      <c r="AE138" s="9"/>
      <c r="AF138" s="23"/>
      <c r="AG138" s="9"/>
      <c r="AH138" s="5" t="s">
        <v>3</v>
      </c>
      <c r="AI138" s="5" t="s">
        <v>3092</v>
      </c>
      <c r="AJ138" s="5" t="s">
        <v>3554</v>
      </c>
      <c r="AK138" s="16" t="s">
        <v>3</v>
      </c>
      <c r="AL138" s="65" t="s">
        <v>2715</v>
      </c>
      <c r="AM138" s="31" t="s">
        <v>2217</v>
      </c>
    </row>
    <row r="139" spans="2:39" x14ac:dyDescent="0.25">
      <c r="B139" s="18" t="s">
        <v>25</v>
      </c>
      <c r="C139" s="44" t="s">
        <v>263</v>
      </c>
      <c r="D139" s="20" t="s">
        <v>26</v>
      </c>
      <c r="E139" s="67" t="s">
        <v>3</v>
      </c>
      <c r="F139" s="51" t="s">
        <v>3</v>
      </c>
      <c r="G139" s="37" t="s">
        <v>3</v>
      </c>
      <c r="H139" s="68" t="s">
        <v>2715</v>
      </c>
      <c r="I139" s="62" t="s">
        <v>1157</v>
      </c>
      <c r="J139" s="61" t="s">
        <v>250</v>
      </c>
      <c r="K139" s="4">
        <v>6520928</v>
      </c>
      <c r="L139" s="39">
        <v>101.124</v>
      </c>
      <c r="M139" s="4">
        <v>6659015</v>
      </c>
      <c r="N139" s="4">
        <v>6585000</v>
      </c>
      <c r="O139" s="4">
        <v>6522385</v>
      </c>
      <c r="P139" s="4">
        <v>0</v>
      </c>
      <c r="Q139" s="4">
        <v>1457</v>
      </c>
      <c r="R139" s="4">
        <v>0</v>
      </c>
      <c r="S139" s="4">
        <v>0</v>
      </c>
      <c r="T139" s="23">
        <v>1.04</v>
      </c>
      <c r="U139" s="23">
        <v>1.2290000000000001</v>
      </c>
      <c r="V139" s="5" t="s">
        <v>12</v>
      </c>
      <c r="W139" s="4">
        <v>14458</v>
      </c>
      <c r="X139" s="4">
        <v>0</v>
      </c>
      <c r="Y139" s="11">
        <v>44147</v>
      </c>
      <c r="Z139" s="11">
        <v>46096</v>
      </c>
      <c r="AA139" s="64" t="s">
        <v>1356</v>
      </c>
      <c r="AB139" s="63" t="s">
        <v>3840</v>
      </c>
      <c r="AC139" s="5" t="s">
        <v>9</v>
      </c>
      <c r="AD139" s="2"/>
      <c r="AE139" s="9"/>
      <c r="AF139" s="23"/>
      <c r="AG139" s="6"/>
      <c r="AH139" s="5" t="s">
        <v>3854</v>
      </c>
      <c r="AI139" s="5" t="s">
        <v>264</v>
      </c>
      <c r="AJ139" s="5" t="s">
        <v>2729</v>
      </c>
      <c r="AK139" s="16" t="s">
        <v>3</v>
      </c>
      <c r="AL139" s="65" t="s">
        <v>2715</v>
      </c>
      <c r="AM139" s="31" t="s">
        <v>1631</v>
      </c>
    </row>
    <row r="140" spans="2:39" x14ac:dyDescent="0.25">
      <c r="B140" s="18" t="s">
        <v>1169</v>
      </c>
      <c r="C140" s="44" t="s">
        <v>3855</v>
      </c>
      <c r="D140" s="20" t="s">
        <v>3555</v>
      </c>
      <c r="E140" s="67" t="s">
        <v>3</v>
      </c>
      <c r="F140" s="51" t="s">
        <v>3</v>
      </c>
      <c r="G140" s="37" t="s">
        <v>3</v>
      </c>
      <c r="H140" s="68" t="s">
        <v>2715</v>
      </c>
      <c r="I140" s="62" t="s">
        <v>10</v>
      </c>
      <c r="J140" s="61" t="s">
        <v>250</v>
      </c>
      <c r="K140" s="4">
        <v>220000</v>
      </c>
      <c r="L140" s="39">
        <v>131.04900000000001</v>
      </c>
      <c r="M140" s="4">
        <v>288308</v>
      </c>
      <c r="N140" s="4">
        <v>220000</v>
      </c>
      <c r="O140" s="4">
        <v>220000</v>
      </c>
      <c r="P140" s="4">
        <v>0</v>
      </c>
      <c r="Q140" s="4">
        <v>0</v>
      </c>
      <c r="R140" s="4">
        <v>0</v>
      </c>
      <c r="S140" s="4">
        <v>0</v>
      </c>
      <c r="T140" s="23">
        <v>5.77</v>
      </c>
      <c r="U140" s="23">
        <v>5.7690000000000001</v>
      </c>
      <c r="V140" s="5" t="s">
        <v>12</v>
      </c>
      <c r="W140" s="4">
        <v>3738</v>
      </c>
      <c r="X140" s="4">
        <v>12694</v>
      </c>
      <c r="Y140" s="11">
        <v>42277</v>
      </c>
      <c r="Z140" s="11">
        <v>50844</v>
      </c>
      <c r="AA140" s="64" t="s">
        <v>1356</v>
      </c>
      <c r="AB140" s="63" t="s">
        <v>3840</v>
      </c>
      <c r="AC140" s="5" t="s">
        <v>4198</v>
      </c>
      <c r="AD140" s="2"/>
      <c r="AE140" s="9"/>
      <c r="AF140" s="23"/>
      <c r="AG140" s="6"/>
      <c r="AH140" s="5" t="s">
        <v>1645</v>
      </c>
      <c r="AI140" s="5" t="s">
        <v>3555</v>
      </c>
      <c r="AJ140" s="5" t="s">
        <v>3</v>
      </c>
      <c r="AK140" s="16" t="s">
        <v>3</v>
      </c>
      <c r="AL140" s="65" t="s">
        <v>3842</v>
      </c>
      <c r="AM140" s="31" t="s">
        <v>1992</v>
      </c>
    </row>
    <row r="141" spans="2:39" x14ac:dyDescent="0.25">
      <c r="B141" s="18" t="s">
        <v>2231</v>
      </c>
      <c r="C141" s="44" t="s">
        <v>4221</v>
      </c>
      <c r="D141" s="20" t="s">
        <v>2002</v>
      </c>
      <c r="E141" s="67" t="s">
        <v>3</v>
      </c>
      <c r="F141" s="51" t="s">
        <v>3</v>
      </c>
      <c r="G141" s="37" t="s">
        <v>3</v>
      </c>
      <c r="H141" s="68" t="s">
        <v>2715</v>
      </c>
      <c r="I141" s="62" t="s">
        <v>1157</v>
      </c>
      <c r="J141" s="61" t="s">
        <v>250</v>
      </c>
      <c r="K141" s="4">
        <v>3500000</v>
      </c>
      <c r="L141" s="39">
        <v>104.17100000000001</v>
      </c>
      <c r="M141" s="4">
        <v>3645985</v>
      </c>
      <c r="N141" s="4">
        <v>3500000</v>
      </c>
      <c r="O141" s="4">
        <v>3500000</v>
      </c>
      <c r="P141" s="4">
        <v>0</v>
      </c>
      <c r="Q141" s="4">
        <v>0</v>
      </c>
      <c r="R141" s="4">
        <v>0</v>
      </c>
      <c r="S141" s="4">
        <v>0</v>
      </c>
      <c r="T141" s="23">
        <v>1.909</v>
      </c>
      <c r="U141" s="23">
        <v>1.909</v>
      </c>
      <c r="V141" s="5" t="s">
        <v>12</v>
      </c>
      <c r="W141" s="4">
        <v>22272</v>
      </c>
      <c r="X141" s="4">
        <v>66815</v>
      </c>
      <c r="Y141" s="11">
        <v>42565</v>
      </c>
      <c r="Z141" s="11">
        <v>45170</v>
      </c>
      <c r="AA141" s="64" t="s">
        <v>1170</v>
      </c>
      <c r="AB141" s="63" t="s">
        <v>3840</v>
      </c>
      <c r="AC141" s="5" t="s">
        <v>9</v>
      </c>
      <c r="AD141" s="2"/>
      <c r="AE141" s="9"/>
      <c r="AF141" s="23"/>
      <c r="AG141" s="6"/>
      <c r="AH141" s="5" t="s">
        <v>3</v>
      </c>
      <c r="AI141" s="5" t="s">
        <v>918</v>
      </c>
      <c r="AJ141" s="5" t="s">
        <v>27</v>
      </c>
      <c r="AK141" s="16" t="s">
        <v>3</v>
      </c>
      <c r="AL141" s="65" t="s">
        <v>2715</v>
      </c>
      <c r="AM141" s="31" t="s">
        <v>1631</v>
      </c>
    </row>
    <row r="142" spans="2:39" x14ac:dyDescent="0.25">
      <c r="B142" s="18" t="s">
        <v>3323</v>
      </c>
      <c r="C142" s="44" t="s">
        <v>2447</v>
      </c>
      <c r="D142" s="20" t="s">
        <v>3093</v>
      </c>
      <c r="E142" s="67" t="s">
        <v>3</v>
      </c>
      <c r="F142" s="51" t="s">
        <v>3</v>
      </c>
      <c r="G142" s="37" t="s">
        <v>2715</v>
      </c>
      <c r="H142" s="68" t="s">
        <v>2715</v>
      </c>
      <c r="I142" s="62" t="s">
        <v>1157</v>
      </c>
      <c r="J142" s="61" t="s">
        <v>250</v>
      </c>
      <c r="K142" s="4">
        <v>1750000</v>
      </c>
      <c r="L142" s="39">
        <v>100.066</v>
      </c>
      <c r="M142" s="4">
        <v>1751155</v>
      </c>
      <c r="N142" s="4">
        <v>1750000</v>
      </c>
      <c r="O142" s="4">
        <v>1750000</v>
      </c>
      <c r="P142" s="4">
        <v>0</v>
      </c>
      <c r="Q142" s="4">
        <v>0</v>
      </c>
      <c r="R142" s="4">
        <v>0</v>
      </c>
      <c r="S142" s="4">
        <v>0</v>
      </c>
      <c r="T142" s="23">
        <v>1.3109999999999999</v>
      </c>
      <c r="U142" s="23">
        <v>1.3109999999999999</v>
      </c>
      <c r="V142" s="5" t="s">
        <v>3844</v>
      </c>
      <c r="W142" s="4">
        <v>6182</v>
      </c>
      <c r="X142" s="4">
        <v>0</v>
      </c>
      <c r="Y142" s="11">
        <v>44085</v>
      </c>
      <c r="Z142" s="11">
        <v>46174</v>
      </c>
      <c r="AA142" s="64" t="s">
        <v>3539</v>
      </c>
      <c r="AB142" s="63" t="s">
        <v>3840</v>
      </c>
      <c r="AC142" s="5" t="s">
        <v>9</v>
      </c>
      <c r="AD142" s="2"/>
      <c r="AE142" s="9"/>
      <c r="AF142" s="23"/>
      <c r="AG142" s="6"/>
      <c r="AH142" s="5" t="s">
        <v>3</v>
      </c>
      <c r="AI142" s="5" t="s">
        <v>2448</v>
      </c>
      <c r="AJ142" s="5" t="s">
        <v>563</v>
      </c>
      <c r="AK142" s="16" t="s">
        <v>3</v>
      </c>
      <c r="AL142" s="65" t="s">
        <v>2715</v>
      </c>
      <c r="AM142" s="31" t="s">
        <v>1631</v>
      </c>
    </row>
    <row r="143" spans="2:39" x14ac:dyDescent="0.25">
      <c r="B143" s="18" t="s">
        <v>919</v>
      </c>
      <c r="C143" s="44" t="s">
        <v>2449</v>
      </c>
      <c r="D143" s="20" t="s">
        <v>3093</v>
      </c>
      <c r="E143" s="67" t="s">
        <v>3</v>
      </c>
      <c r="F143" s="51" t="s">
        <v>3</v>
      </c>
      <c r="G143" s="37" t="s">
        <v>2715</v>
      </c>
      <c r="H143" s="68" t="s">
        <v>2715</v>
      </c>
      <c r="I143" s="62" t="s">
        <v>1157</v>
      </c>
      <c r="J143" s="61" t="s">
        <v>250</v>
      </c>
      <c r="K143" s="4">
        <v>2720000</v>
      </c>
      <c r="L143" s="39">
        <v>99.974999999999994</v>
      </c>
      <c r="M143" s="4">
        <v>2719320</v>
      </c>
      <c r="N143" s="4">
        <v>2720000</v>
      </c>
      <c r="O143" s="4">
        <v>2720000</v>
      </c>
      <c r="P143" s="4">
        <v>0</v>
      </c>
      <c r="Q143" s="4">
        <v>0</v>
      </c>
      <c r="R143" s="4">
        <v>0</v>
      </c>
      <c r="S143" s="4">
        <v>0</v>
      </c>
      <c r="T143" s="23">
        <v>1.4610000000000001</v>
      </c>
      <c r="U143" s="23">
        <v>1.4610000000000001</v>
      </c>
      <c r="V143" s="5" t="s">
        <v>3844</v>
      </c>
      <c r="W143" s="4">
        <v>10708</v>
      </c>
      <c r="X143" s="4">
        <v>0</v>
      </c>
      <c r="Y143" s="11">
        <v>44085</v>
      </c>
      <c r="Z143" s="11">
        <v>46539</v>
      </c>
      <c r="AA143" s="64" t="s">
        <v>3539</v>
      </c>
      <c r="AB143" s="63" t="s">
        <v>3840</v>
      </c>
      <c r="AC143" s="5" t="s">
        <v>9</v>
      </c>
      <c r="AD143" s="2"/>
      <c r="AE143" s="9"/>
      <c r="AF143" s="23"/>
      <c r="AG143" s="9"/>
      <c r="AH143" s="5" t="s">
        <v>3</v>
      </c>
      <c r="AI143" s="5" t="s">
        <v>2448</v>
      </c>
      <c r="AJ143" s="5" t="s">
        <v>563</v>
      </c>
      <c r="AK143" s="16" t="s">
        <v>3</v>
      </c>
      <c r="AL143" s="65" t="s">
        <v>2715</v>
      </c>
      <c r="AM143" s="31" t="s">
        <v>1631</v>
      </c>
    </row>
    <row r="144" spans="2:39" x14ac:dyDescent="0.25">
      <c r="B144" s="18" t="s">
        <v>2003</v>
      </c>
      <c r="C144" s="44" t="s">
        <v>2450</v>
      </c>
      <c r="D144" s="20" t="s">
        <v>3093</v>
      </c>
      <c r="E144" s="67" t="s">
        <v>3</v>
      </c>
      <c r="F144" s="51" t="s">
        <v>3</v>
      </c>
      <c r="G144" s="37" t="s">
        <v>2715</v>
      </c>
      <c r="H144" s="68" t="s">
        <v>2715</v>
      </c>
      <c r="I144" s="62" t="s">
        <v>1157</v>
      </c>
      <c r="J144" s="61" t="s">
        <v>250</v>
      </c>
      <c r="K144" s="4">
        <v>1545000</v>
      </c>
      <c r="L144" s="39">
        <v>100.663</v>
      </c>
      <c r="M144" s="4">
        <v>1555243</v>
      </c>
      <c r="N144" s="4">
        <v>1545000</v>
      </c>
      <c r="O144" s="4">
        <v>1545000</v>
      </c>
      <c r="P144" s="4">
        <v>0</v>
      </c>
      <c r="Q144" s="4">
        <v>0</v>
      </c>
      <c r="R144" s="4">
        <v>0</v>
      </c>
      <c r="S144" s="4">
        <v>0</v>
      </c>
      <c r="T144" s="23">
        <v>1.712</v>
      </c>
      <c r="U144" s="23">
        <v>1.712</v>
      </c>
      <c r="V144" s="5" t="s">
        <v>3844</v>
      </c>
      <c r="W144" s="4">
        <v>7127</v>
      </c>
      <c r="X144" s="4">
        <v>0</v>
      </c>
      <c r="Y144" s="11">
        <v>44085</v>
      </c>
      <c r="Z144" s="11">
        <v>46905</v>
      </c>
      <c r="AA144" s="64" t="s">
        <v>3539</v>
      </c>
      <c r="AB144" s="63" t="s">
        <v>3840</v>
      </c>
      <c r="AC144" s="5" t="s">
        <v>9</v>
      </c>
      <c r="AD144" s="2"/>
      <c r="AE144" s="9"/>
      <c r="AF144" s="23"/>
      <c r="AG144" s="9"/>
      <c r="AH144" s="5" t="s">
        <v>3</v>
      </c>
      <c r="AI144" s="5" t="s">
        <v>2448</v>
      </c>
      <c r="AJ144" s="5" t="s">
        <v>563</v>
      </c>
      <c r="AK144" s="16" t="s">
        <v>3</v>
      </c>
      <c r="AL144" s="65" t="s">
        <v>2715</v>
      </c>
      <c r="AM144" s="31" t="s">
        <v>1631</v>
      </c>
    </row>
    <row r="145" spans="2:39" x14ac:dyDescent="0.25">
      <c r="B145" s="18" t="s">
        <v>3094</v>
      </c>
      <c r="C145" s="44" t="s">
        <v>265</v>
      </c>
      <c r="D145" s="20" t="s">
        <v>3093</v>
      </c>
      <c r="E145" s="67" t="s">
        <v>3</v>
      </c>
      <c r="F145" s="51" t="s">
        <v>3</v>
      </c>
      <c r="G145" s="37" t="s">
        <v>2715</v>
      </c>
      <c r="H145" s="68" t="s">
        <v>2715</v>
      </c>
      <c r="I145" s="62" t="s">
        <v>1157</v>
      </c>
      <c r="J145" s="61" t="s">
        <v>250</v>
      </c>
      <c r="K145" s="4">
        <v>2000000</v>
      </c>
      <c r="L145" s="39">
        <v>100.407</v>
      </c>
      <c r="M145" s="4">
        <v>2008140</v>
      </c>
      <c r="N145" s="4">
        <v>2000000</v>
      </c>
      <c r="O145" s="4">
        <v>2000000</v>
      </c>
      <c r="P145" s="4">
        <v>0</v>
      </c>
      <c r="Q145" s="4">
        <v>0</v>
      </c>
      <c r="R145" s="4">
        <v>0</v>
      </c>
      <c r="S145" s="4">
        <v>0</v>
      </c>
      <c r="T145" s="23">
        <v>1.8120000000000001</v>
      </c>
      <c r="U145" s="23">
        <v>1.8120000000000001</v>
      </c>
      <c r="V145" s="5" t="s">
        <v>3844</v>
      </c>
      <c r="W145" s="4">
        <v>9765</v>
      </c>
      <c r="X145" s="4">
        <v>0</v>
      </c>
      <c r="Y145" s="11">
        <v>44085</v>
      </c>
      <c r="Z145" s="11">
        <v>47270</v>
      </c>
      <c r="AA145" s="64" t="s">
        <v>3539</v>
      </c>
      <c r="AB145" s="63" t="s">
        <v>3840</v>
      </c>
      <c r="AC145" s="5" t="s">
        <v>9</v>
      </c>
      <c r="AD145" s="2"/>
      <c r="AE145" s="9"/>
      <c r="AF145" s="23"/>
      <c r="AG145" s="6"/>
      <c r="AH145" s="5" t="s">
        <v>3</v>
      </c>
      <c r="AI145" s="5" t="s">
        <v>2448</v>
      </c>
      <c r="AJ145" s="5" t="s">
        <v>563</v>
      </c>
      <c r="AK145" s="16" t="s">
        <v>3</v>
      </c>
      <c r="AL145" s="65" t="s">
        <v>2715</v>
      </c>
      <c r="AM145" s="31" t="s">
        <v>1631</v>
      </c>
    </row>
    <row r="146" spans="2:39" x14ac:dyDescent="0.25">
      <c r="B146" s="18" t="s">
        <v>28</v>
      </c>
      <c r="C146" s="44" t="s">
        <v>3556</v>
      </c>
      <c r="D146" s="20" t="s">
        <v>3093</v>
      </c>
      <c r="E146" s="67" t="s">
        <v>3</v>
      </c>
      <c r="F146" s="51" t="s">
        <v>3</v>
      </c>
      <c r="G146" s="37" t="s">
        <v>2715</v>
      </c>
      <c r="H146" s="68" t="s">
        <v>2715</v>
      </c>
      <c r="I146" s="62" t="s">
        <v>1157</v>
      </c>
      <c r="J146" s="61" t="s">
        <v>250</v>
      </c>
      <c r="K146" s="4">
        <v>2000000</v>
      </c>
      <c r="L146" s="39">
        <v>99.900999999999996</v>
      </c>
      <c r="M146" s="4">
        <v>1998020</v>
      </c>
      <c r="N146" s="4">
        <v>2000000</v>
      </c>
      <c r="O146" s="4">
        <v>2000000</v>
      </c>
      <c r="P146" s="4">
        <v>0</v>
      </c>
      <c r="Q146" s="4">
        <v>0</v>
      </c>
      <c r="R146" s="4">
        <v>0</v>
      </c>
      <c r="S146" s="4">
        <v>0</v>
      </c>
      <c r="T146" s="23">
        <v>1.8620000000000001</v>
      </c>
      <c r="U146" s="23">
        <v>1.8620000000000001</v>
      </c>
      <c r="V146" s="5" t="s">
        <v>3844</v>
      </c>
      <c r="W146" s="4">
        <v>10034</v>
      </c>
      <c r="X146" s="4">
        <v>0</v>
      </c>
      <c r="Y146" s="11">
        <v>44085</v>
      </c>
      <c r="Z146" s="11">
        <v>47635</v>
      </c>
      <c r="AA146" s="64" t="s">
        <v>3539</v>
      </c>
      <c r="AB146" s="63" t="s">
        <v>3840</v>
      </c>
      <c r="AC146" s="5" t="s">
        <v>9</v>
      </c>
      <c r="AD146" s="2"/>
      <c r="AE146" s="6"/>
      <c r="AF146" s="23"/>
      <c r="AG146" s="6"/>
      <c r="AH146" s="5" t="s">
        <v>3</v>
      </c>
      <c r="AI146" s="5" t="s">
        <v>2448</v>
      </c>
      <c r="AJ146" s="5" t="s">
        <v>563</v>
      </c>
      <c r="AK146" s="16" t="s">
        <v>3</v>
      </c>
      <c r="AL146" s="65" t="s">
        <v>2715</v>
      </c>
      <c r="AM146" s="31" t="s">
        <v>1631</v>
      </c>
    </row>
    <row r="147" spans="2:39" x14ac:dyDescent="0.25">
      <c r="B147" s="18" t="s">
        <v>1171</v>
      </c>
      <c r="C147" s="44" t="s">
        <v>3557</v>
      </c>
      <c r="D147" s="20" t="s">
        <v>3093</v>
      </c>
      <c r="E147" s="67" t="s">
        <v>3</v>
      </c>
      <c r="F147" s="51" t="s">
        <v>3</v>
      </c>
      <c r="G147" s="37" t="s">
        <v>2715</v>
      </c>
      <c r="H147" s="68" t="s">
        <v>2715</v>
      </c>
      <c r="I147" s="62" t="s">
        <v>1157</v>
      </c>
      <c r="J147" s="61" t="s">
        <v>250</v>
      </c>
      <c r="K147" s="4">
        <v>3500000</v>
      </c>
      <c r="L147" s="39">
        <v>101.23099999999999</v>
      </c>
      <c r="M147" s="4">
        <v>3543085</v>
      </c>
      <c r="N147" s="4">
        <v>3500000</v>
      </c>
      <c r="O147" s="4">
        <v>3500000</v>
      </c>
      <c r="P147" s="4">
        <v>0</v>
      </c>
      <c r="Q147" s="4">
        <v>0</v>
      </c>
      <c r="R147" s="4">
        <v>0</v>
      </c>
      <c r="S147" s="4">
        <v>0</v>
      </c>
      <c r="T147" s="23">
        <v>2.1320000000000001</v>
      </c>
      <c r="U147" s="23">
        <v>2.1320000000000001</v>
      </c>
      <c r="V147" s="5" t="s">
        <v>3844</v>
      </c>
      <c r="W147" s="4">
        <v>20106</v>
      </c>
      <c r="X147" s="4">
        <v>0</v>
      </c>
      <c r="Y147" s="11">
        <v>44085</v>
      </c>
      <c r="Z147" s="11">
        <v>48000</v>
      </c>
      <c r="AA147" s="64" t="s">
        <v>3539</v>
      </c>
      <c r="AB147" s="63" t="s">
        <v>3840</v>
      </c>
      <c r="AC147" s="5" t="s">
        <v>9</v>
      </c>
      <c r="AD147" s="2"/>
      <c r="AE147" s="11">
        <v>47635</v>
      </c>
      <c r="AF147" s="23">
        <v>100</v>
      </c>
      <c r="AG147" s="6"/>
      <c r="AH147" s="5" t="s">
        <v>3</v>
      </c>
      <c r="AI147" s="5" t="s">
        <v>2448</v>
      </c>
      <c r="AJ147" s="5" t="s">
        <v>563</v>
      </c>
      <c r="AK147" s="16" t="s">
        <v>3</v>
      </c>
      <c r="AL147" s="65" t="s">
        <v>2715</v>
      </c>
      <c r="AM147" s="31" t="s">
        <v>1631</v>
      </c>
    </row>
    <row r="148" spans="2:39" x14ac:dyDescent="0.25">
      <c r="B148" s="18" t="s">
        <v>2232</v>
      </c>
      <c r="C148" s="44" t="s">
        <v>3558</v>
      </c>
      <c r="D148" s="20" t="s">
        <v>3093</v>
      </c>
      <c r="E148" s="67" t="s">
        <v>3</v>
      </c>
      <c r="F148" s="51" t="s">
        <v>3</v>
      </c>
      <c r="G148" s="37" t="s">
        <v>2715</v>
      </c>
      <c r="H148" s="68" t="s">
        <v>2715</v>
      </c>
      <c r="I148" s="62" t="s">
        <v>1157</v>
      </c>
      <c r="J148" s="61" t="s">
        <v>250</v>
      </c>
      <c r="K148" s="4">
        <v>5000000</v>
      </c>
      <c r="L148" s="39">
        <v>101.824</v>
      </c>
      <c r="M148" s="4">
        <v>5091200</v>
      </c>
      <c r="N148" s="4">
        <v>5000000</v>
      </c>
      <c r="O148" s="4">
        <v>5000000</v>
      </c>
      <c r="P148" s="4">
        <v>0</v>
      </c>
      <c r="Q148" s="4">
        <v>0</v>
      </c>
      <c r="R148" s="4">
        <v>0</v>
      </c>
      <c r="S148" s="4">
        <v>0</v>
      </c>
      <c r="T148" s="23">
        <v>2.282</v>
      </c>
      <c r="U148" s="23">
        <v>2.282</v>
      </c>
      <c r="V148" s="5" t="s">
        <v>3844</v>
      </c>
      <c r="W148" s="4">
        <v>30744</v>
      </c>
      <c r="X148" s="4">
        <v>0</v>
      </c>
      <c r="Y148" s="11">
        <v>44085</v>
      </c>
      <c r="Z148" s="11">
        <v>48366</v>
      </c>
      <c r="AA148" s="64" t="s">
        <v>3539</v>
      </c>
      <c r="AB148" s="63" t="s">
        <v>3840</v>
      </c>
      <c r="AC148" s="5" t="s">
        <v>9</v>
      </c>
      <c r="AD148" s="2"/>
      <c r="AE148" s="11">
        <v>47635</v>
      </c>
      <c r="AF148" s="23">
        <v>100</v>
      </c>
      <c r="AG148" s="6"/>
      <c r="AH148" s="5" t="s">
        <v>3</v>
      </c>
      <c r="AI148" s="5" t="s">
        <v>2448</v>
      </c>
      <c r="AJ148" s="5" t="s">
        <v>563</v>
      </c>
      <c r="AK148" s="16" t="s">
        <v>3</v>
      </c>
      <c r="AL148" s="65" t="s">
        <v>2715</v>
      </c>
      <c r="AM148" s="31" t="s">
        <v>1631</v>
      </c>
    </row>
    <row r="149" spans="2:39" x14ac:dyDescent="0.25">
      <c r="B149" s="18" t="s">
        <v>3324</v>
      </c>
      <c r="C149" s="44" t="s">
        <v>2233</v>
      </c>
      <c r="D149" s="20" t="s">
        <v>1646</v>
      </c>
      <c r="E149" s="67" t="s">
        <v>3</v>
      </c>
      <c r="F149" s="51" t="s">
        <v>3</v>
      </c>
      <c r="G149" s="37" t="s">
        <v>2715</v>
      </c>
      <c r="H149" s="68" t="s">
        <v>2715</v>
      </c>
      <c r="I149" s="62" t="s">
        <v>3310</v>
      </c>
      <c r="J149" s="61" t="s">
        <v>250</v>
      </c>
      <c r="K149" s="4">
        <v>1810500</v>
      </c>
      <c r="L149" s="39">
        <v>102.458</v>
      </c>
      <c r="M149" s="4">
        <v>1844244</v>
      </c>
      <c r="N149" s="4">
        <v>1800000</v>
      </c>
      <c r="O149" s="4">
        <v>1809752</v>
      </c>
      <c r="P149" s="4">
        <v>0</v>
      </c>
      <c r="Q149" s="4">
        <v>-748</v>
      </c>
      <c r="R149" s="4">
        <v>0</v>
      </c>
      <c r="S149" s="4">
        <v>0</v>
      </c>
      <c r="T149" s="23">
        <v>1.6140000000000001</v>
      </c>
      <c r="U149" s="23">
        <v>1.528</v>
      </c>
      <c r="V149" s="5" t="s">
        <v>12</v>
      </c>
      <c r="W149" s="4">
        <v>9684</v>
      </c>
      <c r="X149" s="4">
        <v>5891</v>
      </c>
      <c r="Y149" s="11">
        <v>43999</v>
      </c>
      <c r="Z149" s="11">
        <v>46631</v>
      </c>
      <c r="AA149" s="64" t="s">
        <v>266</v>
      </c>
      <c r="AB149" s="63" t="s">
        <v>3840</v>
      </c>
      <c r="AC149" s="5" t="s">
        <v>9</v>
      </c>
      <c r="AD149" s="2"/>
      <c r="AE149" s="9"/>
      <c r="AF149" s="23"/>
      <c r="AG149" s="6"/>
      <c r="AH149" s="5" t="s">
        <v>4222</v>
      </c>
      <c r="AI149" s="5" t="s">
        <v>1646</v>
      </c>
      <c r="AJ149" s="5" t="s">
        <v>3</v>
      </c>
      <c r="AK149" s="16" t="s">
        <v>3</v>
      </c>
      <c r="AL149" s="65" t="s">
        <v>3842</v>
      </c>
      <c r="AM149" s="31" t="s">
        <v>2217</v>
      </c>
    </row>
    <row r="150" spans="2:39" x14ac:dyDescent="0.25">
      <c r="B150" s="18" t="s">
        <v>29</v>
      </c>
      <c r="C150" s="44" t="s">
        <v>2234</v>
      </c>
      <c r="D150" s="20" t="s">
        <v>1646</v>
      </c>
      <c r="E150" s="67" t="s">
        <v>3</v>
      </c>
      <c r="F150" s="51" t="s">
        <v>3</v>
      </c>
      <c r="G150" s="37" t="s">
        <v>2715</v>
      </c>
      <c r="H150" s="68" t="s">
        <v>2715</v>
      </c>
      <c r="I150" s="62" t="s">
        <v>3310</v>
      </c>
      <c r="J150" s="61" t="s">
        <v>250</v>
      </c>
      <c r="K150" s="4">
        <v>1000000</v>
      </c>
      <c r="L150" s="39">
        <v>102.05</v>
      </c>
      <c r="M150" s="4">
        <v>1020500</v>
      </c>
      <c r="N150" s="4">
        <v>1000000</v>
      </c>
      <c r="O150" s="4">
        <v>1000000</v>
      </c>
      <c r="P150" s="4">
        <v>0</v>
      </c>
      <c r="Q150" s="4">
        <v>0</v>
      </c>
      <c r="R150" s="4">
        <v>0</v>
      </c>
      <c r="S150" s="4">
        <v>0</v>
      </c>
      <c r="T150" s="23">
        <v>1.7669999999999999</v>
      </c>
      <c r="U150" s="23">
        <v>1.7669999999999999</v>
      </c>
      <c r="V150" s="5" t="s">
        <v>12</v>
      </c>
      <c r="W150" s="4">
        <v>5890</v>
      </c>
      <c r="X150" s="4">
        <v>3583</v>
      </c>
      <c r="Y150" s="11">
        <v>43993</v>
      </c>
      <c r="Z150" s="11">
        <v>46997</v>
      </c>
      <c r="AA150" s="64" t="s">
        <v>266</v>
      </c>
      <c r="AB150" s="63" t="s">
        <v>3840</v>
      </c>
      <c r="AC150" s="5" t="s">
        <v>9</v>
      </c>
      <c r="AD150" s="2"/>
      <c r="AE150" s="6"/>
      <c r="AF150" s="23"/>
      <c r="AG150" s="6"/>
      <c r="AH150" s="5" t="s">
        <v>4222</v>
      </c>
      <c r="AI150" s="5" t="s">
        <v>1646</v>
      </c>
      <c r="AJ150" s="5" t="s">
        <v>3</v>
      </c>
      <c r="AK150" s="16" t="s">
        <v>3</v>
      </c>
      <c r="AL150" s="65" t="s">
        <v>3842</v>
      </c>
      <c r="AM150" s="31" t="s">
        <v>2217</v>
      </c>
    </row>
    <row r="151" spans="2:39" x14ac:dyDescent="0.25">
      <c r="B151" s="18" t="s">
        <v>1172</v>
      </c>
      <c r="C151" s="44" t="s">
        <v>1173</v>
      </c>
      <c r="D151" s="20" t="s">
        <v>564</v>
      </c>
      <c r="E151" s="67" t="s">
        <v>3</v>
      </c>
      <c r="F151" s="51" t="s">
        <v>3</v>
      </c>
      <c r="G151" s="37" t="s">
        <v>2715</v>
      </c>
      <c r="H151" s="68" t="s">
        <v>2715</v>
      </c>
      <c r="I151" s="62" t="s">
        <v>252</v>
      </c>
      <c r="J151" s="61" t="s">
        <v>250</v>
      </c>
      <c r="K151" s="4">
        <v>1500000</v>
      </c>
      <c r="L151" s="39">
        <v>100.252</v>
      </c>
      <c r="M151" s="4">
        <v>1503780</v>
      </c>
      <c r="N151" s="4">
        <v>1500000</v>
      </c>
      <c r="O151" s="4">
        <v>1500000</v>
      </c>
      <c r="P151" s="4">
        <v>0</v>
      </c>
      <c r="Q151" s="4">
        <v>0</v>
      </c>
      <c r="R151" s="4">
        <v>0</v>
      </c>
      <c r="S151" s="4">
        <v>0</v>
      </c>
      <c r="T151" s="23">
        <v>1.792</v>
      </c>
      <c r="U151" s="23">
        <v>1.792</v>
      </c>
      <c r="V151" s="5" t="s">
        <v>1982</v>
      </c>
      <c r="W151" s="4">
        <v>8288</v>
      </c>
      <c r="X151" s="4">
        <v>0</v>
      </c>
      <c r="Y151" s="11">
        <v>44070</v>
      </c>
      <c r="Z151" s="11">
        <v>46935</v>
      </c>
      <c r="AA151" s="64" t="s">
        <v>3856</v>
      </c>
      <c r="AB151" s="63" t="s">
        <v>3840</v>
      </c>
      <c r="AC151" s="5" t="s">
        <v>9</v>
      </c>
      <c r="AD151" s="2"/>
      <c r="AE151" s="6"/>
      <c r="AF151" s="23"/>
      <c r="AG151" s="6"/>
      <c r="AH151" s="5" t="s">
        <v>3</v>
      </c>
      <c r="AI151" s="5" t="s">
        <v>2451</v>
      </c>
      <c r="AJ151" s="5" t="s">
        <v>2451</v>
      </c>
      <c r="AK151" s="16" t="s">
        <v>3</v>
      </c>
      <c r="AL151" s="65" t="s">
        <v>2715</v>
      </c>
      <c r="AM151" s="31" t="s">
        <v>898</v>
      </c>
    </row>
    <row r="152" spans="2:39" x14ac:dyDescent="0.25">
      <c r="B152" s="18" t="s">
        <v>2235</v>
      </c>
      <c r="C152" s="44" t="s">
        <v>3325</v>
      </c>
      <c r="D152" s="20" t="s">
        <v>564</v>
      </c>
      <c r="E152" s="67" t="s">
        <v>3</v>
      </c>
      <c r="F152" s="51" t="s">
        <v>3</v>
      </c>
      <c r="G152" s="37" t="s">
        <v>2715</v>
      </c>
      <c r="H152" s="68" t="s">
        <v>2715</v>
      </c>
      <c r="I152" s="62" t="s">
        <v>252</v>
      </c>
      <c r="J152" s="61" t="s">
        <v>250</v>
      </c>
      <c r="K152" s="4">
        <v>1615000</v>
      </c>
      <c r="L152" s="39">
        <v>100.117</v>
      </c>
      <c r="M152" s="4">
        <v>1616890</v>
      </c>
      <c r="N152" s="4">
        <v>1615000</v>
      </c>
      <c r="O152" s="4">
        <v>1615000</v>
      </c>
      <c r="P152" s="4">
        <v>0</v>
      </c>
      <c r="Q152" s="4">
        <v>0</v>
      </c>
      <c r="R152" s="4">
        <v>0</v>
      </c>
      <c r="S152" s="4">
        <v>0</v>
      </c>
      <c r="T152" s="23">
        <v>1.8919999999999999</v>
      </c>
      <c r="U152" s="23">
        <v>1.8919999999999999</v>
      </c>
      <c r="V152" s="5" t="s">
        <v>1982</v>
      </c>
      <c r="W152" s="4">
        <v>9421</v>
      </c>
      <c r="X152" s="4">
        <v>0</v>
      </c>
      <c r="Y152" s="11">
        <v>44070</v>
      </c>
      <c r="Z152" s="11">
        <v>47300</v>
      </c>
      <c r="AA152" s="64" t="s">
        <v>3856</v>
      </c>
      <c r="AB152" s="63" t="s">
        <v>3840</v>
      </c>
      <c r="AC152" s="5" t="s">
        <v>9</v>
      </c>
      <c r="AD152" s="2"/>
      <c r="AE152" s="6"/>
      <c r="AF152" s="23"/>
      <c r="AG152" s="6"/>
      <c r="AH152" s="5" t="s">
        <v>3</v>
      </c>
      <c r="AI152" s="5" t="s">
        <v>2451</v>
      </c>
      <c r="AJ152" s="5" t="s">
        <v>2451</v>
      </c>
      <c r="AK152" s="16" t="s">
        <v>3</v>
      </c>
      <c r="AL152" s="65" t="s">
        <v>2715</v>
      </c>
      <c r="AM152" s="31" t="s">
        <v>898</v>
      </c>
    </row>
    <row r="153" spans="2:39" x14ac:dyDescent="0.25">
      <c r="B153" s="18" t="s">
        <v>4223</v>
      </c>
      <c r="C153" s="44" t="s">
        <v>3326</v>
      </c>
      <c r="D153" s="20" t="s">
        <v>564</v>
      </c>
      <c r="E153" s="67" t="s">
        <v>3</v>
      </c>
      <c r="F153" s="51" t="s">
        <v>3</v>
      </c>
      <c r="G153" s="37" t="s">
        <v>2715</v>
      </c>
      <c r="H153" s="68" t="s">
        <v>2715</v>
      </c>
      <c r="I153" s="62" t="s">
        <v>252</v>
      </c>
      <c r="J153" s="61" t="s">
        <v>250</v>
      </c>
      <c r="K153" s="4">
        <v>1250000</v>
      </c>
      <c r="L153" s="39">
        <v>100.27800000000001</v>
      </c>
      <c r="M153" s="4">
        <v>1253475</v>
      </c>
      <c r="N153" s="4">
        <v>1250000</v>
      </c>
      <c r="O153" s="4">
        <v>1250000</v>
      </c>
      <c r="P153" s="4">
        <v>0</v>
      </c>
      <c r="Q153" s="4">
        <v>0</v>
      </c>
      <c r="R153" s="4">
        <v>0</v>
      </c>
      <c r="S153" s="4">
        <v>0</v>
      </c>
      <c r="T153" s="23">
        <v>1.9419999999999999</v>
      </c>
      <c r="U153" s="23">
        <v>1.9419999999999999</v>
      </c>
      <c r="V153" s="5" t="s">
        <v>1982</v>
      </c>
      <c r="W153" s="4">
        <v>7485</v>
      </c>
      <c r="X153" s="4">
        <v>0</v>
      </c>
      <c r="Y153" s="11">
        <v>44070</v>
      </c>
      <c r="Z153" s="11">
        <v>47665</v>
      </c>
      <c r="AA153" s="64" t="s">
        <v>3856</v>
      </c>
      <c r="AB153" s="63" t="s">
        <v>3840</v>
      </c>
      <c r="AC153" s="5" t="s">
        <v>9</v>
      </c>
      <c r="AD153" s="2"/>
      <c r="AE153" s="9"/>
      <c r="AF153" s="23"/>
      <c r="AG153" s="6"/>
      <c r="AH153" s="5" t="s">
        <v>3</v>
      </c>
      <c r="AI153" s="5" t="s">
        <v>2451</v>
      </c>
      <c r="AJ153" s="5" t="s">
        <v>2451</v>
      </c>
      <c r="AK153" s="16" t="s">
        <v>3</v>
      </c>
      <c r="AL153" s="65" t="s">
        <v>2715</v>
      </c>
      <c r="AM153" s="31" t="s">
        <v>898</v>
      </c>
    </row>
    <row r="154" spans="2:39" x14ac:dyDescent="0.25">
      <c r="B154" s="18" t="s">
        <v>920</v>
      </c>
      <c r="C154" s="44" t="s">
        <v>3327</v>
      </c>
      <c r="D154" s="20" t="s">
        <v>564</v>
      </c>
      <c r="E154" s="67" t="s">
        <v>3</v>
      </c>
      <c r="F154" s="51" t="s">
        <v>3</v>
      </c>
      <c r="G154" s="37" t="s">
        <v>2715</v>
      </c>
      <c r="H154" s="68" t="s">
        <v>2715</v>
      </c>
      <c r="I154" s="62" t="s">
        <v>252</v>
      </c>
      <c r="J154" s="61" t="s">
        <v>250</v>
      </c>
      <c r="K154" s="4">
        <v>3905000</v>
      </c>
      <c r="L154" s="39">
        <v>101.10299999999999</v>
      </c>
      <c r="M154" s="4">
        <v>3948071</v>
      </c>
      <c r="N154" s="4">
        <v>3905000</v>
      </c>
      <c r="O154" s="4">
        <v>3905000</v>
      </c>
      <c r="P154" s="4">
        <v>0</v>
      </c>
      <c r="Q154" s="4">
        <v>0</v>
      </c>
      <c r="R154" s="4">
        <v>0</v>
      </c>
      <c r="S154" s="4">
        <v>0</v>
      </c>
      <c r="T154" s="23">
        <v>2.1419999999999999</v>
      </c>
      <c r="U154" s="23">
        <v>2.1419999999999999</v>
      </c>
      <c r="V154" s="5" t="s">
        <v>1982</v>
      </c>
      <c r="W154" s="4">
        <v>25791</v>
      </c>
      <c r="X154" s="4">
        <v>0</v>
      </c>
      <c r="Y154" s="11">
        <v>44070</v>
      </c>
      <c r="Z154" s="11">
        <v>48030</v>
      </c>
      <c r="AA154" s="64" t="s">
        <v>3856</v>
      </c>
      <c r="AB154" s="63" t="s">
        <v>3840</v>
      </c>
      <c r="AC154" s="5" t="s">
        <v>9</v>
      </c>
      <c r="AD154" s="2"/>
      <c r="AE154" s="11">
        <v>47665</v>
      </c>
      <c r="AF154" s="23">
        <v>100</v>
      </c>
      <c r="AG154" s="6"/>
      <c r="AH154" s="5" t="s">
        <v>3</v>
      </c>
      <c r="AI154" s="5" t="s">
        <v>2451</v>
      </c>
      <c r="AJ154" s="5" t="s">
        <v>2451</v>
      </c>
      <c r="AK154" s="16" t="s">
        <v>3</v>
      </c>
      <c r="AL154" s="65" t="s">
        <v>2715</v>
      </c>
      <c r="AM154" s="31" t="s">
        <v>898</v>
      </c>
    </row>
    <row r="155" spans="2:39" x14ac:dyDescent="0.25">
      <c r="B155" s="18" t="s">
        <v>2236</v>
      </c>
      <c r="C155" s="44" t="s">
        <v>3328</v>
      </c>
      <c r="D155" s="20" t="s">
        <v>564</v>
      </c>
      <c r="E155" s="67" t="s">
        <v>3</v>
      </c>
      <c r="F155" s="51" t="s">
        <v>3</v>
      </c>
      <c r="G155" s="37" t="s">
        <v>2715</v>
      </c>
      <c r="H155" s="68" t="s">
        <v>2715</v>
      </c>
      <c r="I155" s="62" t="s">
        <v>252</v>
      </c>
      <c r="J155" s="61" t="s">
        <v>250</v>
      </c>
      <c r="K155" s="4">
        <v>5750000</v>
      </c>
      <c r="L155" s="39">
        <v>101.36</v>
      </c>
      <c r="M155" s="4">
        <v>5828200</v>
      </c>
      <c r="N155" s="4">
        <v>5750000</v>
      </c>
      <c r="O155" s="4">
        <v>5750000</v>
      </c>
      <c r="P155" s="4">
        <v>0</v>
      </c>
      <c r="Q155" s="4">
        <v>0</v>
      </c>
      <c r="R155" s="4">
        <v>0</v>
      </c>
      <c r="S155" s="4">
        <v>0</v>
      </c>
      <c r="T155" s="23">
        <v>2.2919999999999998</v>
      </c>
      <c r="U155" s="23">
        <v>2.2919999999999998</v>
      </c>
      <c r="V155" s="5" t="s">
        <v>1982</v>
      </c>
      <c r="W155" s="4">
        <v>40635</v>
      </c>
      <c r="X155" s="4">
        <v>0</v>
      </c>
      <c r="Y155" s="11">
        <v>44070</v>
      </c>
      <c r="Z155" s="11">
        <v>48396</v>
      </c>
      <c r="AA155" s="64" t="s">
        <v>3856</v>
      </c>
      <c r="AB155" s="63" t="s">
        <v>3840</v>
      </c>
      <c r="AC155" s="5" t="s">
        <v>9</v>
      </c>
      <c r="AD155" s="2"/>
      <c r="AE155" s="11">
        <v>47665</v>
      </c>
      <c r="AF155" s="23">
        <v>100</v>
      </c>
      <c r="AG155" s="9"/>
      <c r="AH155" s="5" t="s">
        <v>3</v>
      </c>
      <c r="AI155" s="5" t="s">
        <v>2451</v>
      </c>
      <c r="AJ155" s="5" t="s">
        <v>2451</v>
      </c>
      <c r="AK155" s="16" t="s">
        <v>3</v>
      </c>
      <c r="AL155" s="65" t="s">
        <v>2715</v>
      </c>
      <c r="AM155" s="31" t="s">
        <v>898</v>
      </c>
    </row>
    <row r="156" spans="2:39" x14ac:dyDescent="0.25">
      <c r="B156" s="18" t="s">
        <v>3329</v>
      </c>
      <c r="C156" s="44" t="s">
        <v>1647</v>
      </c>
      <c r="D156" s="20" t="s">
        <v>565</v>
      </c>
      <c r="E156" s="67" t="s">
        <v>3</v>
      </c>
      <c r="F156" s="51" t="s">
        <v>3</v>
      </c>
      <c r="G156" s="37" t="s">
        <v>3</v>
      </c>
      <c r="H156" s="68" t="s">
        <v>2715</v>
      </c>
      <c r="I156" s="62" t="s">
        <v>3310</v>
      </c>
      <c r="J156" s="61" t="s">
        <v>250</v>
      </c>
      <c r="K156" s="4">
        <v>5000000</v>
      </c>
      <c r="L156" s="39">
        <v>101.941</v>
      </c>
      <c r="M156" s="4">
        <v>5097050</v>
      </c>
      <c r="N156" s="4">
        <v>5000000</v>
      </c>
      <c r="O156" s="4">
        <v>5000000</v>
      </c>
      <c r="P156" s="4">
        <v>0</v>
      </c>
      <c r="Q156" s="4">
        <v>0</v>
      </c>
      <c r="R156" s="4">
        <v>0</v>
      </c>
      <c r="S156" s="4">
        <v>0</v>
      </c>
      <c r="T156" s="23">
        <v>1.66</v>
      </c>
      <c r="U156" s="23">
        <v>1.66</v>
      </c>
      <c r="V156" s="5" t="s">
        <v>3312</v>
      </c>
      <c r="W156" s="4">
        <v>10606</v>
      </c>
      <c r="X156" s="4">
        <v>83000</v>
      </c>
      <c r="Y156" s="11">
        <v>42550</v>
      </c>
      <c r="Z156" s="11">
        <v>44696</v>
      </c>
      <c r="AA156" s="64" t="s">
        <v>2725</v>
      </c>
      <c r="AB156" s="63" t="s">
        <v>3840</v>
      </c>
      <c r="AC156" s="5" t="s">
        <v>9</v>
      </c>
      <c r="AD156" s="2"/>
      <c r="AE156" s="9"/>
      <c r="AF156" s="23"/>
      <c r="AG156" s="9"/>
      <c r="AH156" s="5" t="s">
        <v>3</v>
      </c>
      <c r="AI156" s="5" t="s">
        <v>2237</v>
      </c>
      <c r="AJ156" s="5" t="s">
        <v>2004</v>
      </c>
      <c r="AK156" s="16" t="s">
        <v>3</v>
      </c>
      <c r="AL156" s="65" t="s">
        <v>2715</v>
      </c>
      <c r="AM156" s="31" t="s">
        <v>2217</v>
      </c>
    </row>
    <row r="157" spans="2:39" x14ac:dyDescent="0.25">
      <c r="B157" s="18" t="s">
        <v>30</v>
      </c>
      <c r="C157" s="44" t="s">
        <v>2730</v>
      </c>
      <c r="D157" s="20" t="s">
        <v>565</v>
      </c>
      <c r="E157" s="67" t="s">
        <v>3</v>
      </c>
      <c r="F157" s="51" t="s">
        <v>3</v>
      </c>
      <c r="G157" s="37" t="s">
        <v>3</v>
      </c>
      <c r="H157" s="68" t="s">
        <v>2715</v>
      </c>
      <c r="I157" s="62" t="s">
        <v>3310</v>
      </c>
      <c r="J157" s="61" t="s">
        <v>250</v>
      </c>
      <c r="K157" s="4">
        <v>7546875</v>
      </c>
      <c r="L157" s="39">
        <v>108.48699999999999</v>
      </c>
      <c r="M157" s="4">
        <v>8136525</v>
      </c>
      <c r="N157" s="4">
        <v>7500000</v>
      </c>
      <c r="O157" s="4">
        <v>7531485</v>
      </c>
      <c r="P157" s="4">
        <v>0</v>
      </c>
      <c r="Q157" s="4">
        <v>-8844</v>
      </c>
      <c r="R157" s="4">
        <v>0</v>
      </c>
      <c r="S157" s="4">
        <v>0</v>
      </c>
      <c r="T157" s="23">
        <v>2.8839999999999999</v>
      </c>
      <c r="U157" s="23">
        <v>2.7519999999999998</v>
      </c>
      <c r="V157" s="5" t="s">
        <v>3312</v>
      </c>
      <c r="W157" s="4">
        <v>27638</v>
      </c>
      <c r="X157" s="4">
        <v>216300</v>
      </c>
      <c r="Y157" s="11">
        <v>43551</v>
      </c>
      <c r="Z157" s="11">
        <v>45427</v>
      </c>
      <c r="AA157" s="64" t="s">
        <v>2725</v>
      </c>
      <c r="AB157" s="63" t="s">
        <v>3840</v>
      </c>
      <c r="AC157" s="5" t="s">
        <v>9</v>
      </c>
      <c r="AD157" s="2"/>
      <c r="AE157" s="9"/>
      <c r="AF157" s="23"/>
      <c r="AG157" s="6"/>
      <c r="AH157" s="5" t="s">
        <v>3</v>
      </c>
      <c r="AI157" s="5" t="s">
        <v>2237</v>
      </c>
      <c r="AJ157" s="5" t="s">
        <v>2004</v>
      </c>
      <c r="AK157" s="16" t="s">
        <v>3</v>
      </c>
      <c r="AL157" s="65" t="s">
        <v>2715</v>
      </c>
      <c r="AM157" s="31" t="s">
        <v>2217</v>
      </c>
    </row>
    <row r="158" spans="2:39" x14ac:dyDescent="0.25">
      <c r="B158" s="18" t="s">
        <v>1174</v>
      </c>
      <c r="C158" s="44" t="s">
        <v>2731</v>
      </c>
      <c r="D158" s="20" t="s">
        <v>1648</v>
      </c>
      <c r="E158" s="67" t="s">
        <v>3</v>
      </c>
      <c r="F158" s="51" t="s">
        <v>3</v>
      </c>
      <c r="G158" s="37" t="s">
        <v>2715</v>
      </c>
      <c r="H158" s="68" t="s">
        <v>2715</v>
      </c>
      <c r="I158" s="62" t="s">
        <v>10</v>
      </c>
      <c r="J158" s="61" t="s">
        <v>250</v>
      </c>
      <c r="K158" s="4">
        <v>1000000</v>
      </c>
      <c r="L158" s="39">
        <v>108.596</v>
      </c>
      <c r="M158" s="4">
        <v>1085960</v>
      </c>
      <c r="N158" s="4">
        <v>1000000</v>
      </c>
      <c r="O158" s="4">
        <v>1000000</v>
      </c>
      <c r="P158" s="4">
        <v>0</v>
      </c>
      <c r="Q158" s="4">
        <v>0</v>
      </c>
      <c r="R158" s="4">
        <v>0</v>
      </c>
      <c r="S158" s="4">
        <v>0</v>
      </c>
      <c r="T158" s="23">
        <v>2.2170000000000001</v>
      </c>
      <c r="U158" s="23">
        <v>2.2170000000000001</v>
      </c>
      <c r="V158" s="5" t="s">
        <v>3312</v>
      </c>
      <c r="W158" s="4">
        <v>3695</v>
      </c>
      <c r="X158" s="4">
        <v>16012</v>
      </c>
      <c r="Y158" s="11">
        <v>43853</v>
      </c>
      <c r="Z158" s="11">
        <v>46874</v>
      </c>
      <c r="AA158" s="64" t="s">
        <v>267</v>
      </c>
      <c r="AB158" s="63" t="s">
        <v>3840</v>
      </c>
      <c r="AC158" s="5" t="s">
        <v>9</v>
      </c>
      <c r="AD158" s="2"/>
      <c r="AE158" s="9"/>
      <c r="AF158" s="23"/>
      <c r="AG158" s="9"/>
      <c r="AH158" s="5" t="s">
        <v>4224</v>
      </c>
      <c r="AI158" s="5" t="s">
        <v>921</v>
      </c>
      <c r="AJ158" s="5" t="s">
        <v>921</v>
      </c>
      <c r="AK158" s="16" t="s">
        <v>3</v>
      </c>
      <c r="AL158" s="65" t="s">
        <v>2715</v>
      </c>
      <c r="AM158" s="31" t="s">
        <v>1992</v>
      </c>
    </row>
    <row r="159" spans="2:39" x14ac:dyDescent="0.25">
      <c r="B159" s="7" t="s">
        <v>2713</v>
      </c>
      <c r="C159" s="1" t="s">
        <v>2713</v>
      </c>
      <c r="D159" s="8" t="s">
        <v>2713</v>
      </c>
      <c r="E159" s="1" t="s">
        <v>2713</v>
      </c>
      <c r="F159" s="1" t="s">
        <v>2713</v>
      </c>
      <c r="G159" s="1" t="s">
        <v>2713</v>
      </c>
      <c r="H159" s="1" t="s">
        <v>2713</v>
      </c>
      <c r="I159" s="1" t="s">
        <v>2713</v>
      </c>
      <c r="J159" s="1" t="s">
        <v>2713</v>
      </c>
      <c r="K159" s="1" t="s">
        <v>2713</v>
      </c>
      <c r="L159" s="1" t="s">
        <v>2713</v>
      </c>
      <c r="M159" s="1" t="s">
        <v>2713</v>
      </c>
      <c r="N159" s="1" t="s">
        <v>2713</v>
      </c>
      <c r="O159" s="1" t="s">
        <v>2713</v>
      </c>
      <c r="P159" s="1" t="s">
        <v>2713</v>
      </c>
      <c r="Q159" s="1" t="s">
        <v>2713</v>
      </c>
      <c r="R159" s="1" t="s">
        <v>2713</v>
      </c>
      <c r="S159" s="1" t="s">
        <v>2713</v>
      </c>
      <c r="T159" s="1" t="s">
        <v>2713</v>
      </c>
      <c r="U159" s="1" t="s">
        <v>2713</v>
      </c>
      <c r="V159" s="1" t="s">
        <v>2713</v>
      </c>
      <c r="W159" s="1" t="s">
        <v>2713</v>
      </c>
      <c r="X159" s="1" t="s">
        <v>2713</v>
      </c>
      <c r="Y159" s="15" t="s">
        <v>2713</v>
      </c>
      <c r="Z159" s="15" t="s">
        <v>2713</v>
      </c>
      <c r="AA159" s="1" t="s">
        <v>2713</v>
      </c>
      <c r="AB159" s="1" t="s">
        <v>2713</v>
      </c>
      <c r="AC159" s="1" t="s">
        <v>2713</v>
      </c>
      <c r="AD159" s="1" t="s">
        <v>2713</v>
      </c>
      <c r="AE159" s="15" t="s">
        <v>2713</v>
      </c>
      <c r="AF159" s="1" t="s">
        <v>2713</v>
      </c>
      <c r="AG159" s="15" t="s">
        <v>2713</v>
      </c>
      <c r="AH159" s="1" t="s">
        <v>2713</v>
      </c>
      <c r="AI159" s="1" t="s">
        <v>2713</v>
      </c>
      <c r="AJ159" s="1" t="s">
        <v>2713</v>
      </c>
      <c r="AK159" s="1" t="s">
        <v>2713</v>
      </c>
      <c r="AL159" s="1" t="s">
        <v>2713</v>
      </c>
      <c r="AM159" s="1" t="s">
        <v>2713</v>
      </c>
    </row>
    <row r="160" spans="2:39" ht="41.4" x14ac:dyDescent="0.25">
      <c r="B160" s="21" t="s">
        <v>1175</v>
      </c>
      <c r="C160" s="19" t="s">
        <v>2005</v>
      </c>
      <c r="D160" s="17"/>
      <c r="E160" s="2"/>
      <c r="F160" s="2"/>
      <c r="G160" s="2"/>
      <c r="H160" s="2"/>
      <c r="I160" s="2"/>
      <c r="J160" s="2"/>
      <c r="K160" s="3">
        <f>SUM('GMIC_2020-Annu_SCDPT1'!SCDPT1_25BEGIN_7:'GMIC_2020-Annu_SCDPT1'!SCDPT1_25ENDIN_7)</f>
        <v>118335381</v>
      </c>
      <c r="L160" s="2"/>
      <c r="M160" s="3">
        <f>SUM('GMIC_2020-Annu_SCDPT1'!SCDPT1_25BEGIN_9:'GMIC_2020-Annu_SCDPT1'!SCDPT1_25ENDIN_9)</f>
        <v>125123827</v>
      </c>
      <c r="N160" s="3">
        <f>SUM('GMIC_2020-Annu_SCDPT1'!SCDPT1_25BEGIN_10:'GMIC_2020-Annu_SCDPT1'!SCDPT1_25ENDIN_10)</f>
        <v>121000000</v>
      </c>
      <c r="O160" s="3">
        <f>SUM('GMIC_2020-Annu_SCDPT1'!SCDPT1_25BEGIN_11:'GMIC_2020-Annu_SCDPT1'!SCDPT1_25ENDIN_11)</f>
        <v>119669327</v>
      </c>
      <c r="P160" s="3">
        <f>SUM('GMIC_2020-Annu_SCDPT1'!SCDPT1_25BEGIN_12:'GMIC_2020-Annu_SCDPT1'!SCDPT1_25ENDIN_12)</f>
        <v>0</v>
      </c>
      <c r="Q160" s="3">
        <f>SUM('GMIC_2020-Annu_SCDPT1'!SCDPT1_25BEGIN_13:'GMIC_2020-Annu_SCDPT1'!SCDPT1_25ENDIN_13)</f>
        <v>269483</v>
      </c>
      <c r="R160" s="3">
        <f>SUM('GMIC_2020-Annu_SCDPT1'!SCDPT1_25BEGIN_14:'GMIC_2020-Annu_SCDPT1'!SCDPT1_25ENDIN_14)</f>
        <v>0</v>
      </c>
      <c r="S160" s="3">
        <f>SUM('GMIC_2020-Annu_SCDPT1'!SCDPT1_25BEGIN_15:'GMIC_2020-Annu_SCDPT1'!SCDPT1_25ENDIN_15)</f>
        <v>0</v>
      </c>
      <c r="T160" s="2"/>
      <c r="U160" s="2"/>
      <c r="V160" s="2"/>
      <c r="W160" s="3">
        <f>SUM('GMIC_2020-Annu_SCDPT1'!SCDPT1_25BEGIN_19:'GMIC_2020-Annu_SCDPT1'!SCDPT1_25ENDIN_19)</f>
        <v>669863</v>
      </c>
      <c r="X160" s="3">
        <f>SUM('GMIC_2020-Annu_SCDPT1'!SCDPT1_25BEGIN_20:'GMIC_2020-Annu_SCDPT1'!SCDPT1_25ENDIN_20)</f>
        <v>1384790</v>
      </c>
      <c r="Y160" s="27"/>
      <c r="Z160" s="27"/>
      <c r="AA160" s="2"/>
      <c r="AB160" s="2"/>
      <c r="AC160" s="2"/>
      <c r="AD160" s="2"/>
      <c r="AE160" s="27"/>
      <c r="AF160" s="2"/>
      <c r="AG160" s="2"/>
      <c r="AH160" s="2"/>
      <c r="AI160" s="2"/>
      <c r="AJ160" s="2"/>
      <c r="AK160" s="2"/>
      <c r="AL160" s="2"/>
      <c r="AM160" s="2"/>
    </row>
    <row r="161" spans="2:39" x14ac:dyDescent="0.25">
      <c r="B161" s="7" t="s">
        <v>2713</v>
      </c>
      <c r="C161" s="1" t="s">
        <v>2713</v>
      </c>
      <c r="D161" s="8" t="s">
        <v>2713</v>
      </c>
      <c r="E161" s="1" t="s">
        <v>2713</v>
      </c>
      <c r="F161" s="1" t="s">
        <v>2713</v>
      </c>
      <c r="G161" s="1" t="s">
        <v>2713</v>
      </c>
      <c r="H161" s="1" t="s">
        <v>2713</v>
      </c>
      <c r="I161" s="1" t="s">
        <v>2713</v>
      </c>
      <c r="J161" s="1" t="s">
        <v>2713</v>
      </c>
      <c r="K161" s="1" t="s">
        <v>2713</v>
      </c>
      <c r="L161" s="1" t="s">
        <v>2713</v>
      </c>
      <c r="M161" s="1" t="s">
        <v>2713</v>
      </c>
      <c r="N161" s="1" t="s">
        <v>2713</v>
      </c>
      <c r="O161" s="1" t="s">
        <v>2713</v>
      </c>
      <c r="P161" s="1" t="s">
        <v>2713</v>
      </c>
      <c r="Q161" s="1" t="s">
        <v>2713</v>
      </c>
      <c r="R161" s="1" t="s">
        <v>2713</v>
      </c>
      <c r="S161" s="1" t="s">
        <v>2713</v>
      </c>
      <c r="T161" s="1" t="s">
        <v>2713</v>
      </c>
      <c r="U161" s="1" t="s">
        <v>2713</v>
      </c>
      <c r="V161" s="1" t="s">
        <v>2713</v>
      </c>
      <c r="W161" s="1" t="s">
        <v>2713</v>
      </c>
      <c r="X161" s="1" t="s">
        <v>2713</v>
      </c>
      <c r="Y161" s="15" t="s">
        <v>2713</v>
      </c>
      <c r="Z161" s="15" t="s">
        <v>2713</v>
      </c>
      <c r="AA161" s="1" t="s">
        <v>2713</v>
      </c>
      <c r="AB161" s="1" t="s">
        <v>2713</v>
      </c>
      <c r="AC161" s="1" t="s">
        <v>2713</v>
      </c>
      <c r="AD161" s="1" t="s">
        <v>2713</v>
      </c>
      <c r="AE161" s="15" t="s">
        <v>2713</v>
      </c>
      <c r="AF161" s="1" t="s">
        <v>2713</v>
      </c>
      <c r="AG161" s="1" t="s">
        <v>2713</v>
      </c>
      <c r="AH161" s="1" t="s">
        <v>2713</v>
      </c>
      <c r="AI161" s="1" t="s">
        <v>2713</v>
      </c>
      <c r="AJ161" s="1" t="s">
        <v>2713</v>
      </c>
      <c r="AK161" s="1" t="s">
        <v>2713</v>
      </c>
      <c r="AL161" s="1" t="s">
        <v>2713</v>
      </c>
      <c r="AM161" s="1" t="s">
        <v>2713</v>
      </c>
    </row>
    <row r="162" spans="2:39" x14ac:dyDescent="0.25">
      <c r="B162" s="18" t="s">
        <v>3330</v>
      </c>
      <c r="C162" s="25" t="s">
        <v>3846</v>
      </c>
      <c r="D162" s="20" t="s">
        <v>3</v>
      </c>
      <c r="E162" s="38" t="s">
        <v>3</v>
      </c>
      <c r="F162" s="22" t="s">
        <v>3</v>
      </c>
      <c r="G162" s="37" t="s">
        <v>3</v>
      </c>
      <c r="H162" s="33" t="s">
        <v>3</v>
      </c>
      <c r="I162" s="34" t="s">
        <v>3</v>
      </c>
      <c r="J162" s="36" t="s">
        <v>3</v>
      </c>
      <c r="K162" s="4"/>
      <c r="L162" s="39"/>
      <c r="M162" s="4"/>
      <c r="N162" s="4"/>
      <c r="O162" s="4"/>
      <c r="P162" s="4"/>
      <c r="Q162" s="4"/>
      <c r="R162" s="4"/>
      <c r="S162" s="4"/>
      <c r="T162" s="23"/>
      <c r="U162" s="23"/>
      <c r="V162" s="5" t="s">
        <v>3</v>
      </c>
      <c r="W162" s="4"/>
      <c r="X162" s="4"/>
      <c r="Y162" s="9"/>
      <c r="Z162" s="9"/>
      <c r="AA162" s="42" t="s">
        <v>3</v>
      </c>
      <c r="AB162" s="29" t="s">
        <v>3</v>
      </c>
      <c r="AC162" s="5" t="s">
        <v>3</v>
      </c>
      <c r="AD162" s="2"/>
      <c r="AE162" s="6"/>
      <c r="AF162" s="23"/>
      <c r="AG162" s="6"/>
      <c r="AH162" s="5" t="s">
        <v>3</v>
      </c>
      <c r="AI162" s="5" t="s">
        <v>3</v>
      </c>
      <c r="AJ162" s="5" t="s">
        <v>3</v>
      </c>
      <c r="AK162" s="16" t="s">
        <v>3</v>
      </c>
      <c r="AL162" s="40" t="s">
        <v>3</v>
      </c>
      <c r="AM162" s="31" t="s">
        <v>3</v>
      </c>
    </row>
    <row r="163" spans="2:39" x14ac:dyDescent="0.25">
      <c r="B163" s="7" t="s">
        <v>2713</v>
      </c>
      <c r="C163" s="1" t="s">
        <v>2713</v>
      </c>
      <c r="D163" s="8" t="s">
        <v>2713</v>
      </c>
      <c r="E163" s="1" t="s">
        <v>2713</v>
      </c>
      <c r="F163" s="1" t="s">
        <v>2713</v>
      </c>
      <c r="G163" s="1" t="s">
        <v>2713</v>
      </c>
      <c r="H163" s="1" t="s">
        <v>2713</v>
      </c>
      <c r="I163" s="1" t="s">
        <v>2713</v>
      </c>
      <c r="J163" s="1" t="s">
        <v>2713</v>
      </c>
      <c r="K163" s="1" t="s">
        <v>2713</v>
      </c>
      <c r="L163" s="1" t="s">
        <v>2713</v>
      </c>
      <c r="M163" s="1" t="s">
        <v>2713</v>
      </c>
      <c r="N163" s="1" t="s">
        <v>2713</v>
      </c>
      <c r="O163" s="1" t="s">
        <v>2713</v>
      </c>
      <c r="P163" s="1" t="s">
        <v>2713</v>
      </c>
      <c r="Q163" s="1" t="s">
        <v>2713</v>
      </c>
      <c r="R163" s="1" t="s">
        <v>2713</v>
      </c>
      <c r="S163" s="1" t="s">
        <v>2713</v>
      </c>
      <c r="T163" s="1" t="s">
        <v>2713</v>
      </c>
      <c r="U163" s="1" t="s">
        <v>2713</v>
      </c>
      <c r="V163" s="1" t="s">
        <v>2713</v>
      </c>
      <c r="W163" s="1" t="s">
        <v>2713</v>
      </c>
      <c r="X163" s="1" t="s">
        <v>2713</v>
      </c>
      <c r="Y163" s="15" t="s">
        <v>2713</v>
      </c>
      <c r="Z163" s="15" t="s">
        <v>2713</v>
      </c>
      <c r="AA163" s="1" t="s">
        <v>2713</v>
      </c>
      <c r="AB163" s="1" t="s">
        <v>2713</v>
      </c>
      <c r="AC163" s="1" t="s">
        <v>2713</v>
      </c>
      <c r="AD163" s="1" t="s">
        <v>2713</v>
      </c>
      <c r="AE163" s="15" t="s">
        <v>2713</v>
      </c>
      <c r="AF163" s="1" t="s">
        <v>2713</v>
      </c>
      <c r="AG163" s="15" t="s">
        <v>2713</v>
      </c>
      <c r="AH163" s="1" t="s">
        <v>2713</v>
      </c>
      <c r="AI163" s="1" t="s">
        <v>2713</v>
      </c>
      <c r="AJ163" s="1" t="s">
        <v>2713</v>
      </c>
      <c r="AK163" s="1" t="s">
        <v>2713</v>
      </c>
      <c r="AL163" s="1" t="s">
        <v>2713</v>
      </c>
      <c r="AM163" s="1" t="s">
        <v>2713</v>
      </c>
    </row>
    <row r="164" spans="2:39" ht="55.2" x14ac:dyDescent="0.25">
      <c r="B164" s="21" t="s">
        <v>268</v>
      </c>
      <c r="C164" s="19" t="s">
        <v>2732</v>
      </c>
      <c r="D164" s="17"/>
      <c r="E164" s="2"/>
      <c r="F164" s="2"/>
      <c r="G164" s="2"/>
      <c r="H164" s="2"/>
      <c r="I164" s="2"/>
      <c r="J164" s="2"/>
      <c r="K164" s="3">
        <f>SUM('GMIC_2020-Annu_SCDPT1'!SCDPT1_26BEGIN_7:'GMIC_2020-Annu_SCDPT1'!SCDPT1_26ENDIN_7)</f>
        <v>0</v>
      </c>
      <c r="L164" s="2"/>
      <c r="M164" s="3">
        <f>SUM('GMIC_2020-Annu_SCDPT1'!SCDPT1_26BEGIN_9:'GMIC_2020-Annu_SCDPT1'!SCDPT1_26ENDIN_9)</f>
        <v>0</v>
      </c>
      <c r="N164" s="3">
        <f>SUM('GMIC_2020-Annu_SCDPT1'!SCDPT1_26BEGIN_10:'GMIC_2020-Annu_SCDPT1'!SCDPT1_26ENDIN_10)</f>
        <v>0</v>
      </c>
      <c r="O164" s="3">
        <f>SUM('GMIC_2020-Annu_SCDPT1'!SCDPT1_26BEGIN_11:'GMIC_2020-Annu_SCDPT1'!SCDPT1_26ENDIN_11)</f>
        <v>0</v>
      </c>
      <c r="P164" s="3">
        <f>SUM('GMIC_2020-Annu_SCDPT1'!SCDPT1_26BEGIN_12:'GMIC_2020-Annu_SCDPT1'!SCDPT1_26ENDIN_12)</f>
        <v>0</v>
      </c>
      <c r="Q164" s="3">
        <f>SUM('GMIC_2020-Annu_SCDPT1'!SCDPT1_26BEGIN_13:'GMIC_2020-Annu_SCDPT1'!SCDPT1_26ENDIN_13)</f>
        <v>0</v>
      </c>
      <c r="R164" s="3">
        <f>SUM('GMIC_2020-Annu_SCDPT1'!SCDPT1_26BEGIN_14:'GMIC_2020-Annu_SCDPT1'!SCDPT1_26ENDIN_14)</f>
        <v>0</v>
      </c>
      <c r="S164" s="3">
        <f>SUM('GMIC_2020-Annu_SCDPT1'!SCDPT1_26BEGIN_15:'GMIC_2020-Annu_SCDPT1'!SCDPT1_26ENDIN_15)</f>
        <v>0</v>
      </c>
      <c r="T164" s="2"/>
      <c r="U164" s="2"/>
      <c r="V164" s="2"/>
      <c r="W164" s="3">
        <f>SUM('GMIC_2020-Annu_SCDPT1'!SCDPT1_26BEGIN_19:'GMIC_2020-Annu_SCDPT1'!SCDPT1_26ENDIN_19)</f>
        <v>0</v>
      </c>
      <c r="X164" s="3">
        <f>SUM('GMIC_2020-Annu_SCDPT1'!SCDPT1_26BEGIN_20:'GMIC_2020-Annu_SCDPT1'!SCDPT1_26ENDIN_20)</f>
        <v>0</v>
      </c>
      <c r="Y164" s="27"/>
      <c r="Z164" s="27"/>
      <c r="AA164" s="2"/>
      <c r="AB164" s="2"/>
      <c r="AC164" s="2"/>
      <c r="AD164" s="2"/>
      <c r="AE164" s="27"/>
      <c r="AF164" s="2"/>
      <c r="AG164" s="2"/>
      <c r="AH164" s="2"/>
      <c r="AI164" s="2"/>
      <c r="AJ164" s="2"/>
      <c r="AK164" s="2"/>
      <c r="AL164" s="2"/>
      <c r="AM164" s="2"/>
    </row>
    <row r="165" spans="2:39" x14ac:dyDescent="0.25">
      <c r="B165" s="7" t="s">
        <v>2713</v>
      </c>
      <c r="C165" s="1" t="s">
        <v>2713</v>
      </c>
      <c r="D165" s="8" t="s">
        <v>2713</v>
      </c>
      <c r="E165" s="1" t="s">
        <v>2713</v>
      </c>
      <c r="F165" s="1" t="s">
        <v>2713</v>
      </c>
      <c r="G165" s="1" t="s">
        <v>2713</v>
      </c>
      <c r="H165" s="1" t="s">
        <v>2713</v>
      </c>
      <c r="I165" s="1" t="s">
        <v>2713</v>
      </c>
      <c r="J165" s="1" t="s">
        <v>2713</v>
      </c>
      <c r="K165" s="1" t="s">
        <v>2713</v>
      </c>
      <c r="L165" s="1" t="s">
        <v>2713</v>
      </c>
      <c r="M165" s="1" t="s">
        <v>2713</v>
      </c>
      <c r="N165" s="1" t="s">
        <v>2713</v>
      </c>
      <c r="O165" s="1" t="s">
        <v>2713</v>
      </c>
      <c r="P165" s="1" t="s">
        <v>2713</v>
      </c>
      <c r="Q165" s="1" t="s">
        <v>2713</v>
      </c>
      <c r="R165" s="1" t="s">
        <v>2713</v>
      </c>
      <c r="S165" s="1" t="s">
        <v>2713</v>
      </c>
      <c r="T165" s="1" t="s">
        <v>2713</v>
      </c>
      <c r="U165" s="1" t="s">
        <v>2713</v>
      </c>
      <c r="V165" s="1" t="s">
        <v>2713</v>
      </c>
      <c r="W165" s="1" t="s">
        <v>2713</v>
      </c>
      <c r="X165" s="1" t="s">
        <v>2713</v>
      </c>
      <c r="Y165" s="15" t="s">
        <v>2713</v>
      </c>
      <c r="Z165" s="15" t="s">
        <v>2713</v>
      </c>
      <c r="AA165" s="1" t="s">
        <v>2713</v>
      </c>
      <c r="AB165" s="1" t="s">
        <v>2713</v>
      </c>
      <c r="AC165" s="1" t="s">
        <v>2713</v>
      </c>
      <c r="AD165" s="1" t="s">
        <v>2713</v>
      </c>
      <c r="AE165" s="15" t="s">
        <v>2713</v>
      </c>
      <c r="AF165" s="1" t="s">
        <v>2713</v>
      </c>
      <c r="AG165" s="1" t="s">
        <v>2713</v>
      </c>
      <c r="AH165" s="1" t="s">
        <v>2713</v>
      </c>
      <c r="AI165" s="1" t="s">
        <v>2713</v>
      </c>
      <c r="AJ165" s="1" t="s">
        <v>2713</v>
      </c>
      <c r="AK165" s="1" t="s">
        <v>2713</v>
      </c>
      <c r="AL165" s="1" t="s">
        <v>2713</v>
      </c>
      <c r="AM165" s="1" t="s">
        <v>2713</v>
      </c>
    </row>
    <row r="166" spans="2:39" x14ac:dyDescent="0.25">
      <c r="B166" s="18" t="s">
        <v>2452</v>
      </c>
      <c r="C166" s="25" t="s">
        <v>3846</v>
      </c>
      <c r="D166" s="20" t="s">
        <v>3</v>
      </c>
      <c r="E166" s="38" t="s">
        <v>3</v>
      </c>
      <c r="F166" s="22" t="s">
        <v>3</v>
      </c>
      <c r="G166" s="37" t="s">
        <v>3</v>
      </c>
      <c r="H166" s="33" t="s">
        <v>3</v>
      </c>
      <c r="I166" s="34" t="s">
        <v>3</v>
      </c>
      <c r="J166" s="36" t="s">
        <v>3</v>
      </c>
      <c r="K166" s="4"/>
      <c r="L166" s="39"/>
      <c r="M166" s="4"/>
      <c r="N166" s="4"/>
      <c r="O166" s="4"/>
      <c r="P166" s="4"/>
      <c r="Q166" s="4"/>
      <c r="R166" s="4"/>
      <c r="S166" s="4"/>
      <c r="T166" s="23"/>
      <c r="U166" s="23"/>
      <c r="V166" s="5" t="s">
        <v>3</v>
      </c>
      <c r="W166" s="4"/>
      <c r="X166" s="4"/>
      <c r="Y166" s="9"/>
      <c r="Z166" s="9"/>
      <c r="AA166" s="42" t="s">
        <v>3</v>
      </c>
      <c r="AB166" s="29" t="s">
        <v>3</v>
      </c>
      <c r="AC166" s="5" t="s">
        <v>3</v>
      </c>
      <c r="AD166" s="2"/>
      <c r="AE166" s="9"/>
      <c r="AF166" s="23"/>
      <c r="AG166" s="9"/>
      <c r="AH166" s="5" t="s">
        <v>3</v>
      </c>
      <c r="AI166" s="5" t="s">
        <v>3</v>
      </c>
      <c r="AJ166" s="5" t="s">
        <v>3</v>
      </c>
      <c r="AK166" s="16" t="s">
        <v>3</v>
      </c>
      <c r="AL166" s="40" t="s">
        <v>3</v>
      </c>
      <c r="AM166" s="31" t="s">
        <v>3</v>
      </c>
    </row>
    <row r="167" spans="2:39" x14ac:dyDescent="0.25">
      <c r="B167" s="7" t="s">
        <v>2713</v>
      </c>
      <c r="C167" s="1" t="s">
        <v>2713</v>
      </c>
      <c r="D167" s="8" t="s">
        <v>2713</v>
      </c>
      <c r="E167" s="1" t="s">
        <v>2713</v>
      </c>
      <c r="F167" s="1" t="s">
        <v>2713</v>
      </c>
      <c r="G167" s="1" t="s">
        <v>2713</v>
      </c>
      <c r="H167" s="1" t="s">
        <v>2713</v>
      </c>
      <c r="I167" s="1" t="s">
        <v>2713</v>
      </c>
      <c r="J167" s="1" t="s">
        <v>2713</v>
      </c>
      <c r="K167" s="1" t="s">
        <v>2713</v>
      </c>
      <c r="L167" s="1" t="s">
        <v>2713</v>
      </c>
      <c r="M167" s="1" t="s">
        <v>2713</v>
      </c>
      <c r="N167" s="1" t="s">
        <v>2713</v>
      </c>
      <c r="O167" s="1" t="s">
        <v>2713</v>
      </c>
      <c r="P167" s="1" t="s">
        <v>2713</v>
      </c>
      <c r="Q167" s="1" t="s">
        <v>2713</v>
      </c>
      <c r="R167" s="1" t="s">
        <v>2713</v>
      </c>
      <c r="S167" s="1" t="s">
        <v>2713</v>
      </c>
      <c r="T167" s="1" t="s">
        <v>2713</v>
      </c>
      <c r="U167" s="1" t="s">
        <v>2713</v>
      </c>
      <c r="V167" s="1" t="s">
        <v>2713</v>
      </c>
      <c r="W167" s="1" t="s">
        <v>2713</v>
      </c>
      <c r="X167" s="1" t="s">
        <v>2713</v>
      </c>
      <c r="Y167" s="15" t="s">
        <v>2713</v>
      </c>
      <c r="Z167" s="15" t="s">
        <v>2713</v>
      </c>
      <c r="AA167" s="1" t="s">
        <v>2713</v>
      </c>
      <c r="AB167" s="1" t="s">
        <v>2713</v>
      </c>
      <c r="AC167" s="1" t="s">
        <v>2713</v>
      </c>
      <c r="AD167" s="1" t="s">
        <v>2713</v>
      </c>
      <c r="AE167" s="1" t="s">
        <v>2713</v>
      </c>
      <c r="AF167" s="1" t="s">
        <v>2713</v>
      </c>
      <c r="AG167" s="1" t="s">
        <v>2713</v>
      </c>
      <c r="AH167" s="1" t="s">
        <v>2713</v>
      </c>
      <c r="AI167" s="1" t="s">
        <v>2713</v>
      </c>
      <c r="AJ167" s="1" t="s">
        <v>2713</v>
      </c>
      <c r="AK167" s="1" t="s">
        <v>2713</v>
      </c>
      <c r="AL167" s="1" t="s">
        <v>2713</v>
      </c>
      <c r="AM167" s="1" t="s">
        <v>2713</v>
      </c>
    </row>
    <row r="168" spans="2:39" ht="55.2" x14ac:dyDescent="0.25">
      <c r="B168" s="21" t="s">
        <v>3857</v>
      </c>
      <c r="C168" s="19" t="s">
        <v>31</v>
      </c>
      <c r="D168" s="17"/>
      <c r="E168" s="2"/>
      <c r="F168" s="2"/>
      <c r="G168" s="2"/>
      <c r="H168" s="2"/>
      <c r="I168" s="2"/>
      <c r="J168" s="2"/>
      <c r="K168" s="3">
        <f>SUM('GMIC_2020-Annu_SCDPT1'!SCDPT1_27BEGIN_7:'GMIC_2020-Annu_SCDPT1'!SCDPT1_27ENDIN_7)</f>
        <v>0</v>
      </c>
      <c r="L168" s="2"/>
      <c r="M168" s="3">
        <f>SUM('GMIC_2020-Annu_SCDPT1'!SCDPT1_27BEGIN_9:'GMIC_2020-Annu_SCDPT1'!SCDPT1_27ENDIN_9)</f>
        <v>0</v>
      </c>
      <c r="N168" s="3">
        <f>SUM('GMIC_2020-Annu_SCDPT1'!SCDPT1_27BEGIN_10:'GMIC_2020-Annu_SCDPT1'!SCDPT1_27ENDIN_10)</f>
        <v>0</v>
      </c>
      <c r="O168" s="3">
        <f>SUM('GMIC_2020-Annu_SCDPT1'!SCDPT1_27BEGIN_11:'GMIC_2020-Annu_SCDPT1'!SCDPT1_27ENDIN_11)</f>
        <v>0</v>
      </c>
      <c r="P168" s="3">
        <f>SUM('GMIC_2020-Annu_SCDPT1'!SCDPT1_27BEGIN_12:'GMIC_2020-Annu_SCDPT1'!SCDPT1_27ENDIN_12)</f>
        <v>0</v>
      </c>
      <c r="Q168" s="3">
        <f>SUM('GMIC_2020-Annu_SCDPT1'!SCDPT1_27BEGIN_13:'GMIC_2020-Annu_SCDPT1'!SCDPT1_27ENDIN_13)</f>
        <v>0</v>
      </c>
      <c r="R168" s="3">
        <f>SUM('GMIC_2020-Annu_SCDPT1'!SCDPT1_27BEGIN_14:'GMIC_2020-Annu_SCDPT1'!SCDPT1_27ENDIN_14)</f>
        <v>0</v>
      </c>
      <c r="S168" s="3">
        <f>SUM('GMIC_2020-Annu_SCDPT1'!SCDPT1_27BEGIN_15:'GMIC_2020-Annu_SCDPT1'!SCDPT1_27ENDIN_15)</f>
        <v>0</v>
      </c>
      <c r="T168" s="2"/>
      <c r="U168" s="2"/>
      <c r="V168" s="2"/>
      <c r="W168" s="3">
        <f>SUM('GMIC_2020-Annu_SCDPT1'!SCDPT1_27BEGIN_19:'GMIC_2020-Annu_SCDPT1'!SCDPT1_27ENDIN_19)</f>
        <v>0</v>
      </c>
      <c r="X168" s="3">
        <f>SUM('GMIC_2020-Annu_SCDPT1'!SCDPT1_27BEGIN_20:'GMIC_2020-Annu_SCDPT1'!SCDPT1_27ENDIN_20)</f>
        <v>0</v>
      </c>
      <c r="Y168" s="27"/>
      <c r="Z168" s="27"/>
      <c r="AA168" s="2"/>
      <c r="AB168" s="2"/>
      <c r="AC168" s="2"/>
      <c r="AD168" s="2"/>
      <c r="AE168" s="27"/>
      <c r="AF168" s="2"/>
      <c r="AG168" s="27"/>
      <c r="AH168" s="2"/>
      <c r="AI168" s="2"/>
      <c r="AJ168" s="2"/>
      <c r="AK168" s="2"/>
      <c r="AL168" s="2"/>
      <c r="AM168" s="2"/>
    </row>
    <row r="169" spans="2:39" x14ac:dyDescent="0.25">
      <c r="B169" s="7" t="s">
        <v>2713</v>
      </c>
      <c r="C169" s="1" t="s">
        <v>2713</v>
      </c>
      <c r="D169" s="8" t="s">
        <v>2713</v>
      </c>
      <c r="E169" s="1" t="s">
        <v>2713</v>
      </c>
      <c r="F169" s="1" t="s">
        <v>2713</v>
      </c>
      <c r="G169" s="1" t="s">
        <v>2713</v>
      </c>
      <c r="H169" s="1" t="s">
        <v>2713</v>
      </c>
      <c r="I169" s="1" t="s">
        <v>2713</v>
      </c>
      <c r="J169" s="1" t="s">
        <v>2713</v>
      </c>
      <c r="K169" s="1" t="s">
        <v>2713</v>
      </c>
      <c r="L169" s="1" t="s">
        <v>2713</v>
      </c>
      <c r="M169" s="1" t="s">
        <v>2713</v>
      </c>
      <c r="N169" s="1" t="s">
        <v>2713</v>
      </c>
      <c r="O169" s="1" t="s">
        <v>2713</v>
      </c>
      <c r="P169" s="1" t="s">
        <v>2713</v>
      </c>
      <c r="Q169" s="1" t="s">
        <v>2713</v>
      </c>
      <c r="R169" s="1" t="s">
        <v>2713</v>
      </c>
      <c r="S169" s="1" t="s">
        <v>2713</v>
      </c>
      <c r="T169" s="1" t="s">
        <v>2713</v>
      </c>
      <c r="U169" s="1" t="s">
        <v>2713</v>
      </c>
      <c r="V169" s="1" t="s">
        <v>2713</v>
      </c>
      <c r="W169" s="1" t="s">
        <v>2713</v>
      </c>
      <c r="X169" s="1" t="s">
        <v>2713</v>
      </c>
      <c r="Y169" s="15" t="s">
        <v>2713</v>
      </c>
      <c r="Z169" s="15" t="s">
        <v>2713</v>
      </c>
      <c r="AA169" s="1" t="s">
        <v>2713</v>
      </c>
      <c r="AB169" s="1" t="s">
        <v>2713</v>
      </c>
      <c r="AC169" s="1" t="s">
        <v>2713</v>
      </c>
      <c r="AD169" s="1" t="s">
        <v>2713</v>
      </c>
      <c r="AE169" s="1" t="s">
        <v>2713</v>
      </c>
      <c r="AF169" s="1" t="s">
        <v>2713</v>
      </c>
      <c r="AG169" s="1" t="s">
        <v>2713</v>
      </c>
      <c r="AH169" s="1" t="s">
        <v>2713</v>
      </c>
      <c r="AI169" s="1" t="s">
        <v>2713</v>
      </c>
      <c r="AJ169" s="1" t="s">
        <v>2713</v>
      </c>
      <c r="AK169" s="1" t="s">
        <v>2713</v>
      </c>
      <c r="AL169" s="1" t="s">
        <v>2713</v>
      </c>
      <c r="AM169" s="1" t="s">
        <v>2713</v>
      </c>
    </row>
    <row r="170" spans="2:39" x14ac:dyDescent="0.25">
      <c r="B170" s="18" t="s">
        <v>1649</v>
      </c>
      <c r="C170" s="25" t="s">
        <v>3846</v>
      </c>
      <c r="D170" s="20" t="s">
        <v>3</v>
      </c>
      <c r="E170" s="38" t="s">
        <v>3</v>
      </c>
      <c r="F170" s="22" t="s">
        <v>3</v>
      </c>
      <c r="G170" s="37" t="s">
        <v>3</v>
      </c>
      <c r="H170" s="33" t="s">
        <v>3</v>
      </c>
      <c r="I170" s="34" t="s">
        <v>3</v>
      </c>
      <c r="J170" s="36" t="s">
        <v>3</v>
      </c>
      <c r="K170" s="4"/>
      <c r="L170" s="39"/>
      <c r="M170" s="4"/>
      <c r="N170" s="4"/>
      <c r="O170" s="4"/>
      <c r="P170" s="4"/>
      <c r="Q170" s="4"/>
      <c r="R170" s="4"/>
      <c r="S170" s="4"/>
      <c r="T170" s="23"/>
      <c r="U170" s="23"/>
      <c r="V170" s="5" t="s">
        <v>3</v>
      </c>
      <c r="W170" s="4"/>
      <c r="X170" s="4"/>
      <c r="Y170" s="9"/>
      <c r="Z170" s="9"/>
      <c r="AA170" s="42" t="s">
        <v>3</v>
      </c>
      <c r="AB170" s="29" t="s">
        <v>3</v>
      </c>
      <c r="AC170" s="5" t="s">
        <v>3</v>
      </c>
      <c r="AD170" s="2"/>
      <c r="AE170" s="6"/>
      <c r="AF170" s="23"/>
      <c r="AG170" s="6"/>
      <c r="AH170" s="5" t="s">
        <v>3</v>
      </c>
      <c r="AI170" s="5" t="s">
        <v>3</v>
      </c>
      <c r="AJ170" s="5" t="s">
        <v>3</v>
      </c>
      <c r="AK170" s="16" t="s">
        <v>3</v>
      </c>
      <c r="AL170" s="40" t="s">
        <v>3</v>
      </c>
      <c r="AM170" s="31" t="s">
        <v>3</v>
      </c>
    </row>
    <row r="171" spans="2:39" x14ac:dyDescent="0.25">
      <c r="B171" s="7" t="s">
        <v>2713</v>
      </c>
      <c r="C171" s="1" t="s">
        <v>2713</v>
      </c>
      <c r="D171" s="8" t="s">
        <v>2713</v>
      </c>
      <c r="E171" s="1" t="s">
        <v>2713</v>
      </c>
      <c r="F171" s="1" t="s">
        <v>2713</v>
      </c>
      <c r="G171" s="1" t="s">
        <v>2713</v>
      </c>
      <c r="H171" s="1" t="s">
        <v>2713</v>
      </c>
      <c r="I171" s="1" t="s">
        <v>2713</v>
      </c>
      <c r="J171" s="1" t="s">
        <v>2713</v>
      </c>
      <c r="K171" s="1" t="s">
        <v>2713</v>
      </c>
      <c r="L171" s="1" t="s">
        <v>2713</v>
      </c>
      <c r="M171" s="1" t="s">
        <v>2713</v>
      </c>
      <c r="N171" s="1" t="s">
        <v>2713</v>
      </c>
      <c r="O171" s="1" t="s">
        <v>2713</v>
      </c>
      <c r="P171" s="1" t="s">
        <v>2713</v>
      </c>
      <c r="Q171" s="1" t="s">
        <v>2713</v>
      </c>
      <c r="R171" s="1" t="s">
        <v>2713</v>
      </c>
      <c r="S171" s="1" t="s">
        <v>2713</v>
      </c>
      <c r="T171" s="1" t="s">
        <v>2713</v>
      </c>
      <c r="U171" s="1" t="s">
        <v>2713</v>
      </c>
      <c r="V171" s="1" t="s">
        <v>2713</v>
      </c>
      <c r="W171" s="1" t="s">
        <v>2713</v>
      </c>
      <c r="X171" s="1" t="s">
        <v>2713</v>
      </c>
      <c r="Y171" s="15" t="s">
        <v>2713</v>
      </c>
      <c r="Z171" s="15" t="s">
        <v>2713</v>
      </c>
      <c r="AA171" s="1" t="s">
        <v>2713</v>
      </c>
      <c r="AB171" s="1" t="s">
        <v>2713</v>
      </c>
      <c r="AC171" s="1" t="s">
        <v>2713</v>
      </c>
      <c r="AD171" s="1" t="s">
        <v>2713</v>
      </c>
      <c r="AE171" s="1" t="s">
        <v>2713</v>
      </c>
      <c r="AF171" s="1" t="s">
        <v>2713</v>
      </c>
      <c r="AG171" s="1" t="s">
        <v>2713</v>
      </c>
      <c r="AH171" s="1" t="s">
        <v>2713</v>
      </c>
      <c r="AI171" s="1" t="s">
        <v>2713</v>
      </c>
      <c r="AJ171" s="1" t="s">
        <v>2713</v>
      </c>
      <c r="AK171" s="1" t="s">
        <v>2713</v>
      </c>
      <c r="AL171" s="1" t="s">
        <v>2713</v>
      </c>
      <c r="AM171" s="1" t="s">
        <v>2713</v>
      </c>
    </row>
    <row r="172" spans="2:39" ht="55.2" x14ac:dyDescent="0.25">
      <c r="B172" s="21" t="s">
        <v>3331</v>
      </c>
      <c r="C172" s="19" t="s">
        <v>269</v>
      </c>
      <c r="D172" s="17"/>
      <c r="E172" s="2"/>
      <c r="F172" s="2"/>
      <c r="G172" s="2"/>
      <c r="H172" s="2"/>
      <c r="I172" s="2"/>
      <c r="J172" s="2"/>
      <c r="K172" s="3">
        <f>SUM('GMIC_2020-Annu_SCDPT1'!SCDPT1_28BEGIN_7:'GMIC_2020-Annu_SCDPT1'!SCDPT1_28ENDIN_7)</f>
        <v>0</v>
      </c>
      <c r="L172" s="2"/>
      <c r="M172" s="3">
        <f>SUM('GMIC_2020-Annu_SCDPT1'!SCDPT1_28BEGIN_9:'GMIC_2020-Annu_SCDPT1'!SCDPT1_28ENDIN_9)</f>
        <v>0</v>
      </c>
      <c r="N172" s="3">
        <f>SUM('GMIC_2020-Annu_SCDPT1'!SCDPT1_28BEGIN_10:'GMIC_2020-Annu_SCDPT1'!SCDPT1_28ENDIN_10)</f>
        <v>0</v>
      </c>
      <c r="O172" s="3">
        <f>SUM('GMIC_2020-Annu_SCDPT1'!SCDPT1_28BEGIN_11:'GMIC_2020-Annu_SCDPT1'!SCDPT1_28ENDIN_11)</f>
        <v>0</v>
      </c>
      <c r="P172" s="3">
        <f>SUM('GMIC_2020-Annu_SCDPT1'!SCDPT1_28BEGIN_12:'GMIC_2020-Annu_SCDPT1'!SCDPT1_28ENDIN_12)</f>
        <v>0</v>
      </c>
      <c r="Q172" s="3">
        <f>SUM('GMIC_2020-Annu_SCDPT1'!SCDPT1_28BEGIN_13:'GMIC_2020-Annu_SCDPT1'!SCDPT1_28ENDIN_13)</f>
        <v>0</v>
      </c>
      <c r="R172" s="3">
        <f>SUM('GMIC_2020-Annu_SCDPT1'!SCDPT1_28BEGIN_14:'GMIC_2020-Annu_SCDPT1'!SCDPT1_28ENDIN_14)</f>
        <v>0</v>
      </c>
      <c r="S172" s="3">
        <f>SUM('GMIC_2020-Annu_SCDPT1'!SCDPT1_28BEGIN_15:'GMIC_2020-Annu_SCDPT1'!SCDPT1_28ENDIN_15)</f>
        <v>0</v>
      </c>
      <c r="T172" s="2"/>
      <c r="U172" s="2"/>
      <c r="V172" s="2"/>
      <c r="W172" s="3">
        <f>SUM('GMIC_2020-Annu_SCDPT1'!SCDPT1_28BEGIN_19:'GMIC_2020-Annu_SCDPT1'!SCDPT1_28ENDIN_19)</f>
        <v>0</v>
      </c>
      <c r="X172" s="3">
        <f>SUM('GMIC_2020-Annu_SCDPT1'!SCDPT1_28BEGIN_20:'GMIC_2020-Annu_SCDPT1'!SCDPT1_28ENDIN_20)</f>
        <v>0</v>
      </c>
      <c r="Y172" s="27"/>
      <c r="Z172" s="27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2:39" ht="27.6" x14ac:dyDescent="0.25">
      <c r="B173" s="21" t="s">
        <v>2453</v>
      </c>
      <c r="C173" s="19" t="s">
        <v>922</v>
      </c>
      <c r="D173" s="17"/>
      <c r="E173" s="2"/>
      <c r="F173" s="2"/>
      <c r="G173" s="2"/>
      <c r="H173" s="2"/>
      <c r="I173" s="2"/>
      <c r="J173" s="2"/>
      <c r="K173" s="3">
        <f>'GMIC_2020-Annu_SCDPT1'!SCDPT1_2599999_7+'GMIC_2020-Annu_SCDPT1'!SCDPT1_2699999_7+'GMIC_2020-Annu_SCDPT1'!SCDPT1_2799999_7+'GMIC_2020-Annu_SCDPT1'!SCDPT1_2899999_7</f>
        <v>118335381</v>
      </c>
      <c r="L173" s="2"/>
      <c r="M173" s="3">
        <f>'GMIC_2020-Annu_SCDPT1'!SCDPT1_2599999_9+'GMIC_2020-Annu_SCDPT1'!SCDPT1_2699999_9+'GMIC_2020-Annu_SCDPT1'!SCDPT1_2799999_9+'GMIC_2020-Annu_SCDPT1'!SCDPT1_2899999_9</f>
        <v>125123827</v>
      </c>
      <c r="N173" s="3">
        <f>'GMIC_2020-Annu_SCDPT1'!SCDPT1_2599999_10+'GMIC_2020-Annu_SCDPT1'!SCDPT1_2699999_10+'GMIC_2020-Annu_SCDPT1'!SCDPT1_2799999_10+'GMIC_2020-Annu_SCDPT1'!SCDPT1_2899999_10</f>
        <v>121000000</v>
      </c>
      <c r="O173" s="3">
        <f>'GMIC_2020-Annu_SCDPT1'!SCDPT1_2599999_11+'GMIC_2020-Annu_SCDPT1'!SCDPT1_2699999_11+'GMIC_2020-Annu_SCDPT1'!SCDPT1_2799999_11+'GMIC_2020-Annu_SCDPT1'!SCDPT1_2899999_11</f>
        <v>119669327</v>
      </c>
      <c r="P173" s="3">
        <f>'GMIC_2020-Annu_SCDPT1'!SCDPT1_2599999_12+'GMIC_2020-Annu_SCDPT1'!SCDPT1_2699999_12+'GMIC_2020-Annu_SCDPT1'!SCDPT1_2799999_12+'GMIC_2020-Annu_SCDPT1'!SCDPT1_2899999_12</f>
        <v>0</v>
      </c>
      <c r="Q173" s="3">
        <f>'GMIC_2020-Annu_SCDPT1'!SCDPT1_2599999_13+'GMIC_2020-Annu_SCDPT1'!SCDPT1_2699999_13+'GMIC_2020-Annu_SCDPT1'!SCDPT1_2799999_13+'GMIC_2020-Annu_SCDPT1'!SCDPT1_2899999_13</f>
        <v>269483</v>
      </c>
      <c r="R173" s="3">
        <f>'GMIC_2020-Annu_SCDPT1'!SCDPT1_2599999_14+'GMIC_2020-Annu_SCDPT1'!SCDPT1_2699999_14+'GMIC_2020-Annu_SCDPT1'!SCDPT1_2799999_14+'GMIC_2020-Annu_SCDPT1'!SCDPT1_2899999_14</f>
        <v>0</v>
      </c>
      <c r="S173" s="3">
        <f>'GMIC_2020-Annu_SCDPT1'!SCDPT1_2599999_15+'GMIC_2020-Annu_SCDPT1'!SCDPT1_2699999_15+'GMIC_2020-Annu_SCDPT1'!SCDPT1_2799999_15+'GMIC_2020-Annu_SCDPT1'!SCDPT1_2899999_15</f>
        <v>0</v>
      </c>
      <c r="T173" s="2"/>
      <c r="U173" s="2"/>
      <c r="V173" s="2"/>
      <c r="W173" s="3">
        <f>'GMIC_2020-Annu_SCDPT1'!SCDPT1_2599999_19+'GMIC_2020-Annu_SCDPT1'!SCDPT1_2699999_19+'GMIC_2020-Annu_SCDPT1'!SCDPT1_2799999_19+'GMIC_2020-Annu_SCDPT1'!SCDPT1_2899999_19</f>
        <v>669863</v>
      </c>
      <c r="X173" s="3">
        <f>'GMIC_2020-Annu_SCDPT1'!SCDPT1_2599999_20+'GMIC_2020-Annu_SCDPT1'!SCDPT1_2699999_20+'GMIC_2020-Annu_SCDPT1'!SCDPT1_2799999_20+'GMIC_2020-Annu_SCDPT1'!SCDPT1_2899999_20</f>
        <v>1384790</v>
      </c>
      <c r="Y173" s="27"/>
      <c r="Z173" s="27"/>
      <c r="AA173" s="2"/>
      <c r="AB173" s="2"/>
      <c r="AC173" s="2"/>
      <c r="AD173" s="2"/>
      <c r="AE173" s="27"/>
      <c r="AF173" s="2"/>
      <c r="AG173" s="27"/>
      <c r="AH173" s="2"/>
      <c r="AI173" s="2"/>
      <c r="AJ173" s="2"/>
      <c r="AK173" s="2"/>
      <c r="AL173" s="2"/>
      <c r="AM173" s="2"/>
    </row>
    <row r="174" spans="2:39" x14ac:dyDescent="0.25">
      <c r="B174" s="7" t="s">
        <v>2713</v>
      </c>
      <c r="C174" s="1" t="s">
        <v>2713</v>
      </c>
      <c r="D174" s="8" t="s">
        <v>2713</v>
      </c>
      <c r="E174" s="1" t="s">
        <v>2713</v>
      </c>
      <c r="F174" s="1" t="s">
        <v>2713</v>
      </c>
      <c r="G174" s="1" t="s">
        <v>2713</v>
      </c>
      <c r="H174" s="1" t="s">
        <v>2713</v>
      </c>
      <c r="I174" s="1" t="s">
        <v>2713</v>
      </c>
      <c r="J174" s="1" t="s">
        <v>2713</v>
      </c>
      <c r="K174" s="1" t="s">
        <v>2713</v>
      </c>
      <c r="L174" s="1" t="s">
        <v>2713</v>
      </c>
      <c r="M174" s="1" t="s">
        <v>2713</v>
      </c>
      <c r="N174" s="1" t="s">
        <v>2713</v>
      </c>
      <c r="O174" s="1" t="s">
        <v>2713</v>
      </c>
      <c r="P174" s="1" t="s">
        <v>2713</v>
      </c>
      <c r="Q174" s="1" t="s">
        <v>2713</v>
      </c>
      <c r="R174" s="1" t="s">
        <v>2713</v>
      </c>
      <c r="S174" s="1" t="s">
        <v>2713</v>
      </c>
      <c r="T174" s="1" t="s">
        <v>2713</v>
      </c>
      <c r="U174" s="1" t="s">
        <v>2713</v>
      </c>
      <c r="V174" s="1" t="s">
        <v>2713</v>
      </c>
      <c r="W174" s="1" t="s">
        <v>2713</v>
      </c>
      <c r="X174" s="1" t="s">
        <v>2713</v>
      </c>
      <c r="Y174" s="15" t="s">
        <v>2713</v>
      </c>
      <c r="Z174" s="15" t="s">
        <v>2713</v>
      </c>
      <c r="AA174" s="1" t="s">
        <v>2713</v>
      </c>
      <c r="AB174" s="1" t="s">
        <v>2713</v>
      </c>
      <c r="AC174" s="1" t="s">
        <v>2713</v>
      </c>
      <c r="AD174" s="1" t="s">
        <v>2713</v>
      </c>
      <c r="AE174" s="15" t="s">
        <v>2713</v>
      </c>
      <c r="AF174" s="1" t="s">
        <v>2713</v>
      </c>
      <c r="AG174" s="1" t="s">
        <v>2713</v>
      </c>
      <c r="AH174" s="1" t="s">
        <v>2713</v>
      </c>
      <c r="AI174" s="1" t="s">
        <v>2713</v>
      </c>
      <c r="AJ174" s="1" t="s">
        <v>2713</v>
      </c>
      <c r="AK174" s="1" t="s">
        <v>2713</v>
      </c>
      <c r="AL174" s="1" t="s">
        <v>2713</v>
      </c>
      <c r="AM174" s="1" t="s">
        <v>2713</v>
      </c>
    </row>
    <row r="175" spans="2:39" x14ac:dyDescent="0.25">
      <c r="B175" s="18" t="s">
        <v>1361</v>
      </c>
      <c r="C175" s="44" t="s">
        <v>4225</v>
      </c>
      <c r="D175" s="20" t="s">
        <v>4226</v>
      </c>
      <c r="E175" s="38" t="s">
        <v>3</v>
      </c>
      <c r="F175" s="22" t="s">
        <v>3</v>
      </c>
      <c r="G175" s="37" t="s">
        <v>2715</v>
      </c>
      <c r="H175" s="33" t="s">
        <v>3842</v>
      </c>
      <c r="I175" s="34" t="s">
        <v>10</v>
      </c>
      <c r="J175" s="36" t="s">
        <v>250</v>
      </c>
      <c r="K175" s="4">
        <v>5000000</v>
      </c>
      <c r="L175" s="39">
        <v>115.30200000000001</v>
      </c>
      <c r="M175" s="4">
        <v>5765100</v>
      </c>
      <c r="N175" s="4">
        <v>5000000</v>
      </c>
      <c r="O175" s="4">
        <v>5000000</v>
      </c>
      <c r="P175" s="4">
        <v>0</v>
      </c>
      <c r="Q175" s="4">
        <v>0</v>
      </c>
      <c r="R175" s="4">
        <v>0</v>
      </c>
      <c r="S175" s="4">
        <v>0</v>
      </c>
      <c r="T175" s="23">
        <v>4.4169999999999998</v>
      </c>
      <c r="U175" s="23">
        <v>4.4169999999999998</v>
      </c>
      <c r="V175" s="5" t="s">
        <v>3312</v>
      </c>
      <c r="W175" s="4">
        <v>22084</v>
      </c>
      <c r="X175" s="4">
        <v>220850</v>
      </c>
      <c r="Y175" s="11">
        <v>43621</v>
      </c>
      <c r="Z175" s="11">
        <v>45802</v>
      </c>
      <c r="AA175" s="2"/>
      <c r="AB175" s="29" t="s">
        <v>3840</v>
      </c>
      <c r="AC175" s="5" t="s">
        <v>4198</v>
      </c>
      <c r="AD175" s="2"/>
      <c r="AE175" s="11">
        <v>45741</v>
      </c>
      <c r="AF175" s="23">
        <v>100</v>
      </c>
      <c r="AG175" s="6"/>
      <c r="AH175" s="5" t="s">
        <v>3</v>
      </c>
      <c r="AI175" s="5" t="s">
        <v>4226</v>
      </c>
      <c r="AJ175" s="5" t="s">
        <v>3</v>
      </c>
      <c r="AK175" s="16" t="s">
        <v>3</v>
      </c>
      <c r="AL175" s="40" t="s">
        <v>3842</v>
      </c>
      <c r="AM175" s="31" t="s">
        <v>1176</v>
      </c>
    </row>
    <row r="176" spans="2:39" x14ac:dyDescent="0.25">
      <c r="B176" s="18" t="s">
        <v>2454</v>
      </c>
      <c r="C176" s="44" t="s">
        <v>1177</v>
      </c>
      <c r="D176" s="20" t="s">
        <v>32</v>
      </c>
      <c r="E176" s="67" t="s">
        <v>3</v>
      </c>
      <c r="F176" s="51" t="s">
        <v>3</v>
      </c>
      <c r="G176" s="37" t="s">
        <v>2715</v>
      </c>
      <c r="H176" s="68" t="s">
        <v>2715</v>
      </c>
      <c r="I176" s="62" t="s">
        <v>1358</v>
      </c>
      <c r="J176" s="61" t="s">
        <v>250</v>
      </c>
      <c r="K176" s="4">
        <v>9874349</v>
      </c>
      <c r="L176" s="39">
        <v>111.96</v>
      </c>
      <c r="M176" s="4">
        <v>11196000</v>
      </c>
      <c r="N176" s="4">
        <v>10000000</v>
      </c>
      <c r="O176" s="4">
        <v>9915507</v>
      </c>
      <c r="P176" s="4">
        <v>0</v>
      </c>
      <c r="Q176" s="4">
        <v>19868</v>
      </c>
      <c r="R176" s="4">
        <v>0</v>
      </c>
      <c r="S176" s="4">
        <v>0</v>
      </c>
      <c r="T176" s="23">
        <v>3.625</v>
      </c>
      <c r="U176" s="23">
        <v>3.8620000000000001</v>
      </c>
      <c r="V176" s="5" t="s">
        <v>3312</v>
      </c>
      <c r="W176" s="4">
        <v>46318</v>
      </c>
      <c r="X176" s="4">
        <v>362500</v>
      </c>
      <c r="Y176" s="11">
        <v>43425</v>
      </c>
      <c r="Z176" s="11">
        <v>45611</v>
      </c>
      <c r="AA176" s="2"/>
      <c r="AB176" s="63" t="s">
        <v>3840</v>
      </c>
      <c r="AC176" s="5" t="s">
        <v>4198</v>
      </c>
      <c r="AD176" s="2"/>
      <c r="AE176" s="9"/>
      <c r="AF176" s="23"/>
      <c r="AG176" s="6"/>
      <c r="AH176" s="5" t="s">
        <v>3</v>
      </c>
      <c r="AI176" s="5" t="s">
        <v>32</v>
      </c>
      <c r="AJ176" s="5" t="s">
        <v>3</v>
      </c>
      <c r="AK176" s="16" t="s">
        <v>3</v>
      </c>
      <c r="AL176" s="65" t="s">
        <v>3842</v>
      </c>
      <c r="AM176" s="31" t="s">
        <v>559</v>
      </c>
    </row>
    <row r="177" spans="2:39" x14ac:dyDescent="0.25">
      <c r="B177" s="18" t="s">
        <v>3559</v>
      </c>
      <c r="C177" s="44" t="s">
        <v>2455</v>
      </c>
      <c r="D177" s="20" t="s">
        <v>923</v>
      </c>
      <c r="E177" s="67" t="s">
        <v>3</v>
      </c>
      <c r="F177" s="51" t="s">
        <v>3</v>
      </c>
      <c r="G177" s="37" t="s">
        <v>2715</v>
      </c>
      <c r="H177" s="68" t="s">
        <v>2715</v>
      </c>
      <c r="I177" s="62" t="s">
        <v>1358</v>
      </c>
      <c r="J177" s="61" t="s">
        <v>250</v>
      </c>
      <c r="K177" s="4">
        <v>4816450</v>
      </c>
      <c r="L177" s="39">
        <v>110.735</v>
      </c>
      <c r="M177" s="4">
        <v>5536750</v>
      </c>
      <c r="N177" s="4">
        <v>5000000</v>
      </c>
      <c r="O177" s="4">
        <v>4873030</v>
      </c>
      <c r="P177" s="4">
        <v>0</v>
      </c>
      <c r="Q177" s="4">
        <v>27238</v>
      </c>
      <c r="R177" s="4">
        <v>0</v>
      </c>
      <c r="S177" s="4">
        <v>0</v>
      </c>
      <c r="T177" s="23">
        <v>3.25</v>
      </c>
      <c r="U177" s="23">
        <v>3.91</v>
      </c>
      <c r="V177" s="5" t="s">
        <v>12</v>
      </c>
      <c r="W177" s="4">
        <v>47846</v>
      </c>
      <c r="X177" s="4">
        <v>162500</v>
      </c>
      <c r="Y177" s="11">
        <v>43420</v>
      </c>
      <c r="Z177" s="11">
        <v>45733</v>
      </c>
      <c r="AA177" s="2"/>
      <c r="AB177" s="63" t="s">
        <v>3840</v>
      </c>
      <c r="AC177" s="5" t="s">
        <v>4198</v>
      </c>
      <c r="AD177" s="2"/>
      <c r="AE177" s="9"/>
      <c r="AF177" s="23"/>
      <c r="AG177" s="9"/>
      <c r="AH177" s="5" t="s">
        <v>3</v>
      </c>
      <c r="AI177" s="5" t="s">
        <v>32</v>
      </c>
      <c r="AJ177" s="5" t="s">
        <v>924</v>
      </c>
      <c r="AK177" s="16" t="s">
        <v>3</v>
      </c>
      <c r="AL177" s="65" t="s">
        <v>3842</v>
      </c>
      <c r="AM177" s="31" t="s">
        <v>559</v>
      </c>
    </row>
    <row r="178" spans="2:39" x14ac:dyDescent="0.25">
      <c r="B178" s="18" t="s">
        <v>270</v>
      </c>
      <c r="C178" s="44" t="s">
        <v>2456</v>
      </c>
      <c r="D178" s="20" t="s">
        <v>925</v>
      </c>
      <c r="E178" s="67" t="s">
        <v>3</v>
      </c>
      <c r="F178" s="51" t="s">
        <v>3</v>
      </c>
      <c r="G178" s="37" t="s">
        <v>3</v>
      </c>
      <c r="H178" s="68" t="s">
        <v>2715</v>
      </c>
      <c r="I178" s="62" t="s">
        <v>252</v>
      </c>
      <c r="J178" s="61" t="s">
        <v>250</v>
      </c>
      <c r="K178" s="4">
        <v>4993950</v>
      </c>
      <c r="L178" s="39">
        <v>102.256</v>
      </c>
      <c r="M178" s="4">
        <v>5112800</v>
      </c>
      <c r="N178" s="4">
        <v>5000000</v>
      </c>
      <c r="O178" s="4">
        <v>4998780</v>
      </c>
      <c r="P178" s="4">
        <v>0</v>
      </c>
      <c r="Q178" s="4">
        <v>1245</v>
      </c>
      <c r="R178" s="4">
        <v>0</v>
      </c>
      <c r="S178" s="4">
        <v>0</v>
      </c>
      <c r="T178" s="23">
        <v>2.7</v>
      </c>
      <c r="U178" s="23">
        <v>2.726</v>
      </c>
      <c r="V178" s="5" t="s">
        <v>3844</v>
      </c>
      <c r="W178" s="4">
        <v>6000</v>
      </c>
      <c r="X178" s="4">
        <v>135000</v>
      </c>
      <c r="Y178" s="11">
        <v>42712</v>
      </c>
      <c r="Z178" s="11">
        <v>44545</v>
      </c>
      <c r="AA178" s="2"/>
      <c r="AB178" s="63" t="s">
        <v>3840</v>
      </c>
      <c r="AC178" s="5" t="s">
        <v>4198</v>
      </c>
      <c r="AD178" s="2"/>
      <c r="AE178" s="9"/>
      <c r="AF178" s="23"/>
      <c r="AG178" s="6"/>
      <c r="AH178" s="5" t="s">
        <v>3</v>
      </c>
      <c r="AI178" s="5" t="s">
        <v>925</v>
      </c>
      <c r="AJ178" s="5" t="s">
        <v>3</v>
      </c>
      <c r="AK178" s="16" t="s">
        <v>3</v>
      </c>
      <c r="AL178" s="65" t="s">
        <v>2715</v>
      </c>
      <c r="AM178" s="31" t="s">
        <v>898</v>
      </c>
    </row>
    <row r="179" spans="2:39" x14ac:dyDescent="0.25">
      <c r="B179" s="18" t="s">
        <v>1362</v>
      </c>
      <c r="C179" s="44" t="s">
        <v>3858</v>
      </c>
      <c r="D179" s="20" t="s">
        <v>3859</v>
      </c>
      <c r="E179" s="67" t="s">
        <v>3</v>
      </c>
      <c r="F179" s="51" t="s">
        <v>3</v>
      </c>
      <c r="G179" s="37" t="s">
        <v>2715</v>
      </c>
      <c r="H179" s="68" t="s">
        <v>2715</v>
      </c>
      <c r="I179" s="62" t="s">
        <v>1358</v>
      </c>
      <c r="J179" s="61" t="s">
        <v>250</v>
      </c>
      <c r="K179" s="4">
        <v>5093800</v>
      </c>
      <c r="L179" s="39">
        <v>102.68300000000001</v>
      </c>
      <c r="M179" s="4">
        <v>5134150</v>
      </c>
      <c r="N179" s="4">
        <v>5000000</v>
      </c>
      <c r="O179" s="4">
        <v>5020213</v>
      </c>
      <c r="P179" s="4">
        <v>0</v>
      </c>
      <c r="Q179" s="4">
        <v>-16375</v>
      </c>
      <c r="R179" s="4">
        <v>0</v>
      </c>
      <c r="S179" s="4">
        <v>0</v>
      </c>
      <c r="T179" s="23">
        <v>2.5499999999999998</v>
      </c>
      <c r="U179" s="23">
        <v>2.2080000000000002</v>
      </c>
      <c r="V179" s="5" t="s">
        <v>12</v>
      </c>
      <c r="W179" s="4">
        <v>37541</v>
      </c>
      <c r="X179" s="4">
        <v>127500</v>
      </c>
      <c r="Y179" s="11">
        <v>42481</v>
      </c>
      <c r="Z179" s="11">
        <v>44635</v>
      </c>
      <c r="AA179" s="2"/>
      <c r="AB179" s="63" t="s">
        <v>3840</v>
      </c>
      <c r="AC179" s="5" t="s">
        <v>4198</v>
      </c>
      <c r="AD179" s="2"/>
      <c r="AE179" s="6"/>
      <c r="AF179" s="23"/>
      <c r="AG179" s="6"/>
      <c r="AH179" s="5" t="s">
        <v>2238</v>
      </c>
      <c r="AI179" s="5" t="s">
        <v>3859</v>
      </c>
      <c r="AJ179" s="5" t="s">
        <v>3</v>
      </c>
      <c r="AK179" s="16" t="s">
        <v>3</v>
      </c>
      <c r="AL179" s="65" t="s">
        <v>3842</v>
      </c>
      <c r="AM179" s="31" t="s">
        <v>559</v>
      </c>
    </row>
    <row r="180" spans="2:39" x14ac:dyDescent="0.25">
      <c r="B180" s="18" t="s">
        <v>2457</v>
      </c>
      <c r="C180" s="44" t="s">
        <v>1363</v>
      </c>
      <c r="D180" s="20" t="s">
        <v>1650</v>
      </c>
      <c r="E180" s="67" t="s">
        <v>3</v>
      </c>
      <c r="F180" s="51" t="s">
        <v>3</v>
      </c>
      <c r="G180" s="37" t="s">
        <v>2715</v>
      </c>
      <c r="H180" s="68" t="s">
        <v>3842</v>
      </c>
      <c r="I180" s="62" t="s">
        <v>10</v>
      </c>
      <c r="J180" s="61" t="s">
        <v>250</v>
      </c>
      <c r="K180" s="4">
        <v>4784250</v>
      </c>
      <c r="L180" s="39">
        <v>111.511</v>
      </c>
      <c r="M180" s="4">
        <v>5575550</v>
      </c>
      <c r="N180" s="4">
        <v>5000000</v>
      </c>
      <c r="O180" s="4">
        <v>4848388</v>
      </c>
      <c r="P180" s="4">
        <v>0</v>
      </c>
      <c r="Q180" s="4">
        <v>30862</v>
      </c>
      <c r="R180" s="4">
        <v>0</v>
      </c>
      <c r="S180" s="4">
        <v>0</v>
      </c>
      <c r="T180" s="23">
        <v>3.6</v>
      </c>
      <c r="U180" s="23">
        <v>4.37</v>
      </c>
      <c r="V180" s="5" t="s">
        <v>3312</v>
      </c>
      <c r="W180" s="4">
        <v>23500</v>
      </c>
      <c r="X180" s="4">
        <v>180000</v>
      </c>
      <c r="Y180" s="11">
        <v>43417</v>
      </c>
      <c r="Z180" s="11">
        <v>45791</v>
      </c>
      <c r="AA180" s="2"/>
      <c r="AB180" s="63" t="s">
        <v>3840</v>
      </c>
      <c r="AC180" s="5" t="s">
        <v>4198</v>
      </c>
      <c r="AD180" s="2"/>
      <c r="AE180" s="11">
        <v>45702</v>
      </c>
      <c r="AF180" s="23">
        <v>100</v>
      </c>
      <c r="AG180" s="9"/>
      <c r="AH180" s="5" t="s">
        <v>1178</v>
      </c>
      <c r="AI180" s="5" t="s">
        <v>1650</v>
      </c>
      <c r="AJ180" s="5" t="s">
        <v>3</v>
      </c>
      <c r="AK180" s="16" t="s">
        <v>3</v>
      </c>
      <c r="AL180" s="65" t="s">
        <v>3842</v>
      </c>
      <c r="AM180" s="31" t="s">
        <v>1176</v>
      </c>
    </row>
    <row r="181" spans="2:39" x14ac:dyDescent="0.25">
      <c r="B181" s="18" t="s">
        <v>3560</v>
      </c>
      <c r="C181" s="44" t="s">
        <v>566</v>
      </c>
      <c r="D181" s="20" t="s">
        <v>1650</v>
      </c>
      <c r="E181" s="67" t="s">
        <v>3</v>
      </c>
      <c r="F181" s="51" t="s">
        <v>3</v>
      </c>
      <c r="G181" s="37" t="s">
        <v>2715</v>
      </c>
      <c r="H181" s="68" t="s">
        <v>3842</v>
      </c>
      <c r="I181" s="62" t="s">
        <v>10</v>
      </c>
      <c r="J181" s="61" t="s">
        <v>250</v>
      </c>
      <c r="K181" s="4">
        <v>3054690</v>
      </c>
      <c r="L181" s="39">
        <v>105.26600000000001</v>
      </c>
      <c r="M181" s="4">
        <v>3157980</v>
      </c>
      <c r="N181" s="4">
        <v>3000000</v>
      </c>
      <c r="O181" s="4">
        <v>3019722</v>
      </c>
      <c r="P181" s="4">
        <v>0</v>
      </c>
      <c r="Q181" s="4">
        <v>-8571</v>
      </c>
      <c r="R181" s="4">
        <v>0</v>
      </c>
      <c r="S181" s="4">
        <v>0</v>
      </c>
      <c r="T181" s="23">
        <v>2.85</v>
      </c>
      <c r="U181" s="23">
        <v>2.5419999999999998</v>
      </c>
      <c r="V181" s="5" t="s">
        <v>3312</v>
      </c>
      <c r="W181" s="4">
        <v>11162</v>
      </c>
      <c r="X181" s="4">
        <v>85500</v>
      </c>
      <c r="Y181" s="11">
        <v>42640</v>
      </c>
      <c r="Z181" s="11">
        <v>45060</v>
      </c>
      <c r="AA181" s="2"/>
      <c r="AB181" s="63" t="s">
        <v>3840</v>
      </c>
      <c r="AC181" s="5" t="s">
        <v>4198</v>
      </c>
      <c r="AD181" s="2"/>
      <c r="AE181" s="11">
        <v>44999</v>
      </c>
      <c r="AF181" s="23">
        <v>100</v>
      </c>
      <c r="AG181" s="10">
        <v>44999</v>
      </c>
      <c r="AH181" s="5" t="s">
        <v>1178</v>
      </c>
      <c r="AI181" s="5" t="s">
        <v>1650</v>
      </c>
      <c r="AJ181" s="5" t="s">
        <v>3</v>
      </c>
      <c r="AK181" s="16" t="s">
        <v>3</v>
      </c>
      <c r="AL181" s="65" t="s">
        <v>3842</v>
      </c>
      <c r="AM181" s="31" t="s">
        <v>1176</v>
      </c>
    </row>
    <row r="182" spans="2:39" x14ac:dyDescent="0.25">
      <c r="B182" s="18" t="s">
        <v>567</v>
      </c>
      <c r="C182" s="44" t="s">
        <v>1179</v>
      </c>
      <c r="D182" s="20" t="s">
        <v>1650</v>
      </c>
      <c r="E182" s="67" t="s">
        <v>3</v>
      </c>
      <c r="F182" s="51" t="s">
        <v>3</v>
      </c>
      <c r="G182" s="37" t="s">
        <v>2715</v>
      </c>
      <c r="H182" s="68" t="s">
        <v>3842</v>
      </c>
      <c r="I182" s="62" t="s">
        <v>3310</v>
      </c>
      <c r="J182" s="61" t="s">
        <v>250</v>
      </c>
      <c r="K182" s="4">
        <v>6992750</v>
      </c>
      <c r="L182" s="39">
        <v>110.74</v>
      </c>
      <c r="M182" s="4">
        <v>7751800</v>
      </c>
      <c r="N182" s="4">
        <v>7000000</v>
      </c>
      <c r="O182" s="4">
        <v>6992889</v>
      </c>
      <c r="P182" s="4">
        <v>0</v>
      </c>
      <c r="Q182" s="4">
        <v>138</v>
      </c>
      <c r="R182" s="4">
        <v>0</v>
      </c>
      <c r="S182" s="4">
        <v>0</v>
      </c>
      <c r="T182" s="23">
        <v>2.95</v>
      </c>
      <c r="U182" s="23">
        <v>2.9689999999999999</v>
      </c>
      <c r="V182" s="5" t="s">
        <v>3312</v>
      </c>
      <c r="W182" s="4">
        <v>22943</v>
      </c>
      <c r="X182" s="4">
        <v>0</v>
      </c>
      <c r="Y182" s="11">
        <v>44154</v>
      </c>
      <c r="Z182" s="11">
        <v>46347</v>
      </c>
      <c r="AA182" s="2"/>
      <c r="AB182" s="63" t="s">
        <v>3840</v>
      </c>
      <c r="AC182" s="5" t="s">
        <v>4198</v>
      </c>
      <c r="AD182" s="2"/>
      <c r="AE182" s="11">
        <v>46286</v>
      </c>
      <c r="AF182" s="23">
        <v>100</v>
      </c>
      <c r="AG182" s="6"/>
      <c r="AH182" s="5" t="s">
        <v>1178</v>
      </c>
      <c r="AI182" s="5" t="s">
        <v>1650</v>
      </c>
      <c r="AJ182" s="5" t="s">
        <v>3</v>
      </c>
      <c r="AK182" s="16" t="s">
        <v>3</v>
      </c>
      <c r="AL182" s="65" t="s">
        <v>3842</v>
      </c>
      <c r="AM182" s="31" t="s">
        <v>1651</v>
      </c>
    </row>
    <row r="183" spans="2:39" x14ac:dyDescent="0.25">
      <c r="B183" s="18" t="s">
        <v>1652</v>
      </c>
      <c r="C183" s="44" t="s">
        <v>2006</v>
      </c>
      <c r="D183" s="20" t="s">
        <v>4227</v>
      </c>
      <c r="E183" s="67" t="s">
        <v>3</v>
      </c>
      <c r="F183" s="51" t="s">
        <v>3</v>
      </c>
      <c r="G183" s="37" t="s">
        <v>2715</v>
      </c>
      <c r="H183" s="68" t="s">
        <v>2715</v>
      </c>
      <c r="I183" s="62" t="s">
        <v>252</v>
      </c>
      <c r="J183" s="61" t="s">
        <v>250</v>
      </c>
      <c r="K183" s="4">
        <v>15341200</v>
      </c>
      <c r="L183" s="39">
        <v>110.34699999999999</v>
      </c>
      <c r="M183" s="4">
        <v>17382963</v>
      </c>
      <c r="N183" s="4">
        <v>15753000</v>
      </c>
      <c r="O183" s="4">
        <v>15468635</v>
      </c>
      <c r="P183" s="4">
        <v>0</v>
      </c>
      <c r="Q183" s="4">
        <v>61031</v>
      </c>
      <c r="R183" s="4">
        <v>0</v>
      </c>
      <c r="S183" s="4">
        <v>0</v>
      </c>
      <c r="T183" s="23">
        <v>3.15</v>
      </c>
      <c r="U183" s="23">
        <v>3.6139999999999999</v>
      </c>
      <c r="V183" s="5" t="s">
        <v>12</v>
      </c>
      <c r="W183" s="4">
        <v>146108</v>
      </c>
      <c r="X183" s="4">
        <v>496220</v>
      </c>
      <c r="Y183" s="11">
        <v>43551</v>
      </c>
      <c r="Z183" s="11">
        <v>45731</v>
      </c>
      <c r="AA183" s="2"/>
      <c r="AB183" s="63" t="s">
        <v>3840</v>
      </c>
      <c r="AC183" s="5" t="s">
        <v>4198</v>
      </c>
      <c r="AD183" s="2"/>
      <c r="AE183" s="9"/>
      <c r="AF183" s="23"/>
      <c r="AG183" s="6"/>
      <c r="AH183" s="5" t="s">
        <v>2733</v>
      </c>
      <c r="AI183" s="5" t="s">
        <v>4227</v>
      </c>
      <c r="AJ183" s="5" t="s">
        <v>3</v>
      </c>
      <c r="AK183" s="16" t="s">
        <v>3</v>
      </c>
      <c r="AL183" s="65" t="s">
        <v>3842</v>
      </c>
      <c r="AM183" s="31" t="s">
        <v>898</v>
      </c>
    </row>
    <row r="184" spans="2:39" x14ac:dyDescent="0.25">
      <c r="B184" s="18" t="s">
        <v>3561</v>
      </c>
      <c r="C184" s="44" t="s">
        <v>1364</v>
      </c>
      <c r="D184" s="20" t="s">
        <v>271</v>
      </c>
      <c r="E184" s="67" t="s">
        <v>3</v>
      </c>
      <c r="F184" s="51" t="s">
        <v>3</v>
      </c>
      <c r="G184" s="37" t="s">
        <v>2715</v>
      </c>
      <c r="H184" s="68" t="s">
        <v>3842</v>
      </c>
      <c r="I184" s="62" t="s">
        <v>1157</v>
      </c>
      <c r="J184" s="61" t="s">
        <v>250</v>
      </c>
      <c r="K184" s="4">
        <v>8377073</v>
      </c>
      <c r="L184" s="39">
        <v>101.926</v>
      </c>
      <c r="M184" s="4">
        <v>8440492</v>
      </c>
      <c r="N184" s="4">
        <v>8281000</v>
      </c>
      <c r="O184" s="4">
        <v>8376304</v>
      </c>
      <c r="P184" s="4">
        <v>0</v>
      </c>
      <c r="Q184" s="4">
        <v>-768</v>
      </c>
      <c r="R184" s="4">
        <v>0</v>
      </c>
      <c r="S184" s="4">
        <v>0</v>
      </c>
      <c r="T184" s="23">
        <v>1.75</v>
      </c>
      <c r="U184" s="23">
        <v>1.5649999999999999</v>
      </c>
      <c r="V184" s="5" t="s">
        <v>3843</v>
      </c>
      <c r="W184" s="4">
        <v>37033</v>
      </c>
      <c r="X184" s="4">
        <v>0</v>
      </c>
      <c r="Y184" s="11">
        <v>44179</v>
      </c>
      <c r="Z184" s="11">
        <v>46661</v>
      </c>
      <c r="AA184" s="2"/>
      <c r="AB184" s="63" t="s">
        <v>3840</v>
      </c>
      <c r="AC184" s="5" t="s">
        <v>4198</v>
      </c>
      <c r="AD184" s="2"/>
      <c r="AE184" s="11">
        <v>46600</v>
      </c>
      <c r="AF184" s="23">
        <v>100</v>
      </c>
      <c r="AG184" s="11">
        <v>46600</v>
      </c>
      <c r="AH184" s="5" t="s">
        <v>3332</v>
      </c>
      <c r="AI184" s="5" t="s">
        <v>271</v>
      </c>
      <c r="AJ184" s="5" t="s">
        <v>3</v>
      </c>
      <c r="AK184" s="16" t="s">
        <v>3</v>
      </c>
      <c r="AL184" s="65" t="s">
        <v>3842</v>
      </c>
      <c r="AM184" s="31" t="s">
        <v>926</v>
      </c>
    </row>
    <row r="185" spans="2:39" x14ac:dyDescent="0.25">
      <c r="B185" s="18" t="s">
        <v>272</v>
      </c>
      <c r="C185" s="44" t="s">
        <v>1180</v>
      </c>
      <c r="D185" s="20" t="s">
        <v>3860</v>
      </c>
      <c r="E185" s="67" t="s">
        <v>3</v>
      </c>
      <c r="F185" s="51" t="s">
        <v>3</v>
      </c>
      <c r="G185" s="37" t="s">
        <v>2715</v>
      </c>
      <c r="H185" s="68" t="s">
        <v>3842</v>
      </c>
      <c r="I185" s="62" t="s">
        <v>10</v>
      </c>
      <c r="J185" s="61" t="s">
        <v>250</v>
      </c>
      <c r="K185" s="4">
        <v>2965320</v>
      </c>
      <c r="L185" s="39">
        <v>103.739</v>
      </c>
      <c r="M185" s="4">
        <v>3112170</v>
      </c>
      <c r="N185" s="4">
        <v>3000000</v>
      </c>
      <c r="O185" s="4">
        <v>2981688</v>
      </c>
      <c r="P185" s="4">
        <v>0</v>
      </c>
      <c r="Q185" s="4">
        <v>9364</v>
      </c>
      <c r="R185" s="4">
        <v>0</v>
      </c>
      <c r="S185" s="4">
        <v>0</v>
      </c>
      <c r="T185" s="23">
        <v>2.75</v>
      </c>
      <c r="U185" s="23">
        <v>3.0880000000000001</v>
      </c>
      <c r="V185" s="5" t="s">
        <v>3312</v>
      </c>
      <c r="W185" s="4">
        <v>10541</v>
      </c>
      <c r="X185" s="4">
        <v>82500</v>
      </c>
      <c r="Y185" s="11">
        <v>43551</v>
      </c>
      <c r="Z185" s="11">
        <v>44880</v>
      </c>
      <c r="AA185" s="2"/>
      <c r="AB185" s="63" t="s">
        <v>3840</v>
      </c>
      <c r="AC185" s="5" t="s">
        <v>4198</v>
      </c>
      <c r="AD185" s="2"/>
      <c r="AE185" s="11">
        <v>44788</v>
      </c>
      <c r="AF185" s="23">
        <v>100</v>
      </c>
      <c r="AG185" s="9"/>
      <c r="AH185" s="5" t="s">
        <v>273</v>
      </c>
      <c r="AI185" s="5" t="s">
        <v>4228</v>
      </c>
      <c r="AJ185" s="5" t="s">
        <v>4228</v>
      </c>
      <c r="AK185" s="16" t="s">
        <v>3</v>
      </c>
      <c r="AL185" s="65" t="s">
        <v>3842</v>
      </c>
      <c r="AM185" s="31" t="s">
        <v>1176</v>
      </c>
    </row>
    <row r="186" spans="2:39" x14ac:dyDescent="0.25">
      <c r="B186" s="18" t="s">
        <v>1365</v>
      </c>
      <c r="C186" s="44" t="s">
        <v>33</v>
      </c>
      <c r="D186" s="20" t="s">
        <v>4228</v>
      </c>
      <c r="E186" s="67" t="s">
        <v>3</v>
      </c>
      <c r="F186" s="51" t="s">
        <v>3</v>
      </c>
      <c r="G186" s="37" t="s">
        <v>2715</v>
      </c>
      <c r="H186" s="68" t="s">
        <v>3842</v>
      </c>
      <c r="I186" s="62" t="s">
        <v>10</v>
      </c>
      <c r="J186" s="61" t="s">
        <v>250</v>
      </c>
      <c r="K186" s="4">
        <v>4992700</v>
      </c>
      <c r="L186" s="39">
        <v>105.295</v>
      </c>
      <c r="M186" s="4">
        <v>5264750</v>
      </c>
      <c r="N186" s="4">
        <v>5000000</v>
      </c>
      <c r="O186" s="4">
        <v>4997287</v>
      </c>
      <c r="P186" s="4">
        <v>0</v>
      </c>
      <c r="Q186" s="4">
        <v>1053</v>
      </c>
      <c r="R186" s="4">
        <v>0</v>
      </c>
      <c r="S186" s="4">
        <v>0</v>
      </c>
      <c r="T186" s="23">
        <v>2.8</v>
      </c>
      <c r="U186" s="23">
        <v>2.823</v>
      </c>
      <c r="V186" s="5" t="s">
        <v>3844</v>
      </c>
      <c r="W186" s="4">
        <v>6221</v>
      </c>
      <c r="X186" s="4">
        <v>140000</v>
      </c>
      <c r="Y186" s="11">
        <v>42523</v>
      </c>
      <c r="Z186" s="11">
        <v>45092</v>
      </c>
      <c r="AA186" s="2"/>
      <c r="AB186" s="63" t="s">
        <v>3840</v>
      </c>
      <c r="AC186" s="5" t="s">
        <v>4198</v>
      </c>
      <c r="AD186" s="2"/>
      <c r="AE186" s="11">
        <v>45031</v>
      </c>
      <c r="AF186" s="23">
        <v>100</v>
      </c>
      <c r="AG186" s="6"/>
      <c r="AH186" s="5" t="s">
        <v>273</v>
      </c>
      <c r="AI186" s="5" t="s">
        <v>4228</v>
      </c>
      <c r="AJ186" s="5" t="s">
        <v>3</v>
      </c>
      <c r="AK186" s="16" t="s">
        <v>3</v>
      </c>
      <c r="AL186" s="65" t="s">
        <v>3842</v>
      </c>
      <c r="AM186" s="31" t="s">
        <v>1176</v>
      </c>
    </row>
    <row r="187" spans="2:39" x14ac:dyDescent="0.25">
      <c r="B187" s="18" t="s">
        <v>2458</v>
      </c>
      <c r="C187" s="44" t="s">
        <v>2459</v>
      </c>
      <c r="D187" s="20" t="s">
        <v>3861</v>
      </c>
      <c r="E187" s="67" t="s">
        <v>3</v>
      </c>
      <c r="F187" s="51" t="s">
        <v>3</v>
      </c>
      <c r="G187" s="37" t="s">
        <v>2715</v>
      </c>
      <c r="H187" s="68" t="s">
        <v>2715</v>
      </c>
      <c r="I187" s="62" t="s">
        <v>252</v>
      </c>
      <c r="J187" s="61" t="s">
        <v>250</v>
      </c>
      <c r="K187" s="4">
        <v>2497525</v>
      </c>
      <c r="L187" s="39">
        <v>105.783</v>
      </c>
      <c r="M187" s="4">
        <v>2644575</v>
      </c>
      <c r="N187" s="4">
        <v>2500000</v>
      </c>
      <c r="O187" s="4">
        <v>2497756</v>
      </c>
      <c r="P187" s="4">
        <v>0</v>
      </c>
      <c r="Q187" s="4">
        <v>231</v>
      </c>
      <c r="R187" s="4">
        <v>0</v>
      </c>
      <c r="S187" s="4">
        <v>0</v>
      </c>
      <c r="T187" s="23">
        <v>1.85</v>
      </c>
      <c r="U187" s="23">
        <v>1.865</v>
      </c>
      <c r="V187" s="5" t="s">
        <v>3312</v>
      </c>
      <c r="W187" s="4">
        <v>5910</v>
      </c>
      <c r="X187" s="4">
        <v>25052</v>
      </c>
      <c r="Y187" s="11">
        <v>43948</v>
      </c>
      <c r="Z187" s="11">
        <v>46522</v>
      </c>
      <c r="AA187" s="2"/>
      <c r="AB187" s="63" t="s">
        <v>3840</v>
      </c>
      <c r="AC187" s="5" t="s">
        <v>4198</v>
      </c>
      <c r="AD187" s="2"/>
      <c r="AE187" s="11">
        <v>46461</v>
      </c>
      <c r="AF187" s="23">
        <v>100</v>
      </c>
      <c r="AG187" s="6"/>
      <c r="AH187" s="5" t="s">
        <v>1653</v>
      </c>
      <c r="AI187" s="5" t="s">
        <v>3861</v>
      </c>
      <c r="AJ187" s="5" t="s">
        <v>3</v>
      </c>
      <c r="AK187" s="16" t="s">
        <v>3</v>
      </c>
      <c r="AL187" s="65" t="s">
        <v>3842</v>
      </c>
      <c r="AM187" s="31" t="s">
        <v>898</v>
      </c>
    </row>
    <row r="188" spans="2:39" x14ac:dyDescent="0.25">
      <c r="B188" s="18" t="s">
        <v>3562</v>
      </c>
      <c r="C188" s="44" t="s">
        <v>274</v>
      </c>
      <c r="D188" s="20" t="s">
        <v>927</v>
      </c>
      <c r="E188" s="67" t="s">
        <v>3</v>
      </c>
      <c r="F188" s="51" t="s">
        <v>3</v>
      </c>
      <c r="G188" s="37" t="s">
        <v>2715</v>
      </c>
      <c r="H188" s="68" t="s">
        <v>3842</v>
      </c>
      <c r="I188" s="62" t="s">
        <v>10</v>
      </c>
      <c r="J188" s="61" t="s">
        <v>250</v>
      </c>
      <c r="K188" s="4">
        <v>4997500</v>
      </c>
      <c r="L188" s="39">
        <v>107.178</v>
      </c>
      <c r="M188" s="4">
        <v>5358900</v>
      </c>
      <c r="N188" s="4">
        <v>5000000</v>
      </c>
      <c r="O188" s="4">
        <v>4998724</v>
      </c>
      <c r="P188" s="4">
        <v>0</v>
      </c>
      <c r="Q188" s="4">
        <v>487</v>
      </c>
      <c r="R188" s="4">
        <v>0</v>
      </c>
      <c r="S188" s="4">
        <v>0</v>
      </c>
      <c r="T188" s="23">
        <v>3.75</v>
      </c>
      <c r="U188" s="23">
        <v>3.7610000000000001</v>
      </c>
      <c r="V188" s="5" t="s">
        <v>3844</v>
      </c>
      <c r="W188" s="4">
        <v>8332</v>
      </c>
      <c r="X188" s="4">
        <v>187500</v>
      </c>
      <c r="Y188" s="11">
        <v>43257</v>
      </c>
      <c r="Z188" s="11">
        <v>45092</v>
      </c>
      <c r="AA188" s="2"/>
      <c r="AB188" s="63" t="s">
        <v>3840</v>
      </c>
      <c r="AC188" s="5" t="s">
        <v>4198</v>
      </c>
      <c r="AD188" s="2"/>
      <c r="AE188" s="11">
        <v>45061</v>
      </c>
      <c r="AF188" s="23">
        <v>100</v>
      </c>
      <c r="AG188" s="6"/>
      <c r="AH188" s="5" t="s">
        <v>3</v>
      </c>
      <c r="AI188" s="5" t="s">
        <v>4229</v>
      </c>
      <c r="AJ188" s="5" t="s">
        <v>928</v>
      </c>
      <c r="AK188" s="16" t="s">
        <v>3</v>
      </c>
      <c r="AL188" s="65" t="s">
        <v>3842</v>
      </c>
      <c r="AM188" s="31" t="s">
        <v>1176</v>
      </c>
    </row>
    <row r="189" spans="2:39" x14ac:dyDescent="0.25">
      <c r="B189" s="18" t="s">
        <v>275</v>
      </c>
      <c r="C189" s="44" t="s">
        <v>2007</v>
      </c>
      <c r="D189" s="20" t="s">
        <v>4230</v>
      </c>
      <c r="E189" s="67" t="s">
        <v>3</v>
      </c>
      <c r="F189" s="51" t="s">
        <v>3</v>
      </c>
      <c r="G189" s="37" t="s">
        <v>2715</v>
      </c>
      <c r="H189" s="68" t="s">
        <v>929</v>
      </c>
      <c r="I189" s="62" t="s">
        <v>1157</v>
      </c>
      <c r="J189" s="61" t="s">
        <v>250</v>
      </c>
      <c r="K189" s="4">
        <v>4005000</v>
      </c>
      <c r="L189" s="39">
        <v>102.3</v>
      </c>
      <c r="M189" s="4">
        <v>4092000</v>
      </c>
      <c r="N189" s="4">
        <v>4000000</v>
      </c>
      <c r="O189" s="4">
        <v>4004887</v>
      </c>
      <c r="P189" s="4">
        <v>0</v>
      </c>
      <c r="Q189" s="4">
        <v>-113</v>
      </c>
      <c r="R189" s="4">
        <v>0</v>
      </c>
      <c r="S189" s="4">
        <v>0</v>
      </c>
      <c r="T189" s="23">
        <v>3.75</v>
      </c>
      <c r="U189" s="23">
        <v>3.7309999999999999</v>
      </c>
      <c r="V189" s="5" t="s">
        <v>1982</v>
      </c>
      <c r="W189" s="4">
        <v>17500</v>
      </c>
      <c r="X189" s="4">
        <v>0</v>
      </c>
      <c r="Y189" s="11">
        <v>44144</v>
      </c>
      <c r="Z189" s="11">
        <v>47878</v>
      </c>
      <c r="AA189" s="2"/>
      <c r="AB189" s="63" t="s">
        <v>3840</v>
      </c>
      <c r="AC189" s="5" t="s">
        <v>4198</v>
      </c>
      <c r="AD189" s="2"/>
      <c r="AE189" s="10">
        <v>47148</v>
      </c>
      <c r="AF189" s="23">
        <v>100</v>
      </c>
      <c r="AG189" s="10">
        <v>47148</v>
      </c>
      <c r="AH189" s="5" t="s">
        <v>2734</v>
      </c>
      <c r="AI189" s="5" t="s">
        <v>2008</v>
      </c>
      <c r="AJ189" s="5" t="s">
        <v>928</v>
      </c>
      <c r="AK189" s="16" t="s">
        <v>3</v>
      </c>
      <c r="AL189" s="65" t="s">
        <v>3842</v>
      </c>
      <c r="AM189" s="31" t="s">
        <v>276</v>
      </c>
    </row>
    <row r="190" spans="2:39" x14ac:dyDescent="0.25">
      <c r="B190" s="18" t="s">
        <v>1654</v>
      </c>
      <c r="C190" s="44" t="s">
        <v>3095</v>
      </c>
      <c r="D190" s="20" t="s">
        <v>2735</v>
      </c>
      <c r="E190" s="67" t="s">
        <v>3</v>
      </c>
      <c r="F190" s="51" t="s">
        <v>3</v>
      </c>
      <c r="G190" s="37" t="s">
        <v>2715</v>
      </c>
      <c r="H190" s="68" t="s">
        <v>2715</v>
      </c>
      <c r="I190" s="62" t="s">
        <v>3538</v>
      </c>
      <c r="J190" s="61" t="s">
        <v>250</v>
      </c>
      <c r="K190" s="4">
        <v>3002593</v>
      </c>
      <c r="L190" s="39">
        <v>108.354</v>
      </c>
      <c r="M190" s="4">
        <v>3250620</v>
      </c>
      <c r="N190" s="4">
        <v>3000000</v>
      </c>
      <c r="O190" s="4">
        <v>3001993</v>
      </c>
      <c r="P190" s="4">
        <v>0</v>
      </c>
      <c r="Q190" s="4">
        <v>-618</v>
      </c>
      <c r="R190" s="4">
        <v>0</v>
      </c>
      <c r="S190" s="4">
        <v>0</v>
      </c>
      <c r="T190" s="23">
        <v>2.8</v>
      </c>
      <c r="U190" s="23">
        <v>2.7770000000000001</v>
      </c>
      <c r="V190" s="5" t="s">
        <v>248</v>
      </c>
      <c r="W190" s="4">
        <v>30100</v>
      </c>
      <c r="X190" s="4">
        <v>84000</v>
      </c>
      <c r="Y190" s="11">
        <v>43553</v>
      </c>
      <c r="Z190" s="11">
        <v>45526</v>
      </c>
      <c r="AA190" s="2"/>
      <c r="AB190" s="63" t="s">
        <v>3840</v>
      </c>
      <c r="AC190" s="5" t="s">
        <v>4198</v>
      </c>
      <c r="AD190" s="2"/>
      <c r="AE190" s="11">
        <v>45465</v>
      </c>
      <c r="AF190" s="23">
        <v>100</v>
      </c>
      <c r="AG190" s="10">
        <v>45465</v>
      </c>
      <c r="AH190" s="5" t="s">
        <v>2460</v>
      </c>
      <c r="AI190" s="5" t="s">
        <v>2735</v>
      </c>
      <c r="AJ190" s="5" t="s">
        <v>3</v>
      </c>
      <c r="AK190" s="16" t="s">
        <v>3</v>
      </c>
      <c r="AL190" s="65" t="s">
        <v>3842</v>
      </c>
      <c r="AM190" s="31" t="s">
        <v>1161</v>
      </c>
    </row>
    <row r="191" spans="2:39" x14ac:dyDescent="0.25">
      <c r="B191" s="18" t="s">
        <v>2736</v>
      </c>
      <c r="C191" s="44" t="s">
        <v>3333</v>
      </c>
      <c r="D191" s="20" t="s">
        <v>34</v>
      </c>
      <c r="E191" s="67" t="s">
        <v>3</v>
      </c>
      <c r="F191" s="51" t="s">
        <v>3</v>
      </c>
      <c r="G191" s="37" t="s">
        <v>2715</v>
      </c>
      <c r="H191" s="68" t="s">
        <v>3842</v>
      </c>
      <c r="I191" s="62" t="s">
        <v>10</v>
      </c>
      <c r="J191" s="61" t="s">
        <v>250</v>
      </c>
      <c r="K191" s="4">
        <v>3314490</v>
      </c>
      <c r="L191" s="39">
        <v>111.925</v>
      </c>
      <c r="M191" s="4">
        <v>3833431</v>
      </c>
      <c r="N191" s="4">
        <v>3425000</v>
      </c>
      <c r="O191" s="4">
        <v>3325817</v>
      </c>
      <c r="P191" s="4">
        <v>0</v>
      </c>
      <c r="Q191" s="4">
        <v>11328</v>
      </c>
      <c r="R191" s="4">
        <v>0</v>
      </c>
      <c r="S191" s="4">
        <v>0</v>
      </c>
      <c r="T191" s="23">
        <v>3.625</v>
      </c>
      <c r="U191" s="23">
        <v>4.2380000000000004</v>
      </c>
      <c r="V191" s="5" t="s">
        <v>3843</v>
      </c>
      <c r="W191" s="4">
        <v>21726</v>
      </c>
      <c r="X191" s="4">
        <v>124156</v>
      </c>
      <c r="Y191" s="11">
        <v>43944</v>
      </c>
      <c r="Z191" s="11">
        <v>46140</v>
      </c>
      <c r="AA191" s="2"/>
      <c r="AB191" s="63" t="s">
        <v>3840</v>
      </c>
      <c r="AC191" s="5" t="s">
        <v>4198</v>
      </c>
      <c r="AD191" s="2"/>
      <c r="AE191" s="11">
        <v>46050</v>
      </c>
      <c r="AF191" s="23">
        <v>100</v>
      </c>
      <c r="AG191" s="6"/>
      <c r="AH191" s="5" t="s">
        <v>2239</v>
      </c>
      <c r="AI191" s="5" t="s">
        <v>34</v>
      </c>
      <c r="AJ191" s="5" t="s">
        <v>3</v>
      </c>
      <c r="AK191" s="16" t="s">
        <v>3</v>
      </c>
      <c r="AL191" s="65" t="s">
        <v>3842</v>
      </c>
      <c r="AM191" s="31" t="s">
        <v>1176</v>
      </c>
    </row>
    <row r="192" spans="2:39" x14ac:dyDescent="0.25">
      <c r="B192" s="18" t="s">
        <v>3862</v>
      </c>
      <c r="C192" s="44" t="s">
        <v>3096</v>
      </c>
      <c r="D192" s="20" t="s">
        <v>1366</v>
      </c>
      <c r="E192" s="67" t="s">
        <v>3</v>
      </c>
      <c r="F192" s="51" t="s">
        <v>3</v>
      </c>
      <c r="G192" s="37" t="s">
        <v>3</v>
      </c>
      <c r="H192" s="68" t="s">
        <v>3842</v>
      </c>
      <c r="I192" s="62" t="s">
        <v>3310</v>
      </c>
      <c r="J192" s="61" t="s">
        <v>250</v>
      </c>
      <c r="K192" s="4">
        <v>3981320</v>
      </c>
      <c r="L192" s="39">
        <v>104.42100000000001</v>
      </c>
      <c r="M192" s="4">
        <v>4176840</v>
      </c>
      <c r="N192" s="4">
        <v>4000000</v>
      </c>
      <c r="O192" s="4">
        <v>3990054</v>
      </c>
      <c r="P192" s="4">
        <v>0</v>
      </c>
      <c r="Q192" s="4">
        <v>4978</v>
      </c>
      <c r="R192" s="4">
        <v>0</v>
      </c>
      <c r="S192" s="4">
        <v>0</v>
      </c>
      <c r="T192" s="23">
        <v>2.65</v>
      </c>
      <c r="U192" s="23">
        <v>2.7839999999999998</v>
      </c>
      <c r="V192" s="5" t="s">
        <v>3844</v>
      </c>
      <c r="W192" s="4">
        <v>8538</v>
      </c>
      <c r="X192" s="4">
        <v>106000</v>
      </c>
      <c r="Y192" s="11">
        <v>43553</v>
      </c>
      <c r="Z192" s="11">
        <v>44897</v>
      </c>
      <c r="AA192" s="2"/>
      <c r="AB192" s="63" t="s">
        <v>3840</v>
      </c>
      <c r="AC192" s="5" t="s">
        <v>4198</v>
      </c>
      <c r="AD192" s="2"/>
      <c r="AE192" s="6"/>
      <c r="AF192" s="23"/>
      <c r="AG192" s="6"/>
      <c r="AH192" s="5" t="s">
        <v>277</v>
      </c>
      <c r="AI192" s="5" t="s">
        <v>1367</v>
      </c>
      <c r="AJ192" s="5" t="s">
        <v>1367</v>
      </c>
      <c r="AK192" s="16" t="s">
        <v>3</v>
      </c>
      <c r="AL192" s="65" t="s">
        <v>3842</v>
      </c>
      <c r="AM192" s="31" t="s">
        <v>1651</v>
      </c>
    </row>
    <row r="193" spans="2:39" x14ac:dyDescent="0.25">
      <c r="B193" s="18" t="s">
        <v>568</v>
      </c>
      <c r="C193" s="44" t="s">
        <v>35</v>
      </c>
      <c r="D193" s="20" t="s">
        <v>1367</v>
      </c>
      <c r="E193" s="67" t="s">
        <v>3</v>
      </c>
      <c r="F193" s="51" t="s">
        <v>3</v>
      </c>
      <c r="G193" s="37" t="s">
        <v>3842</v>
      </c>
      <c r="H193" s="68" t="s">
        <v>3842</v>
      </c>
      <c r="I193" s="62" t="s">
        <v>3310</v>
      </c>
      <c r="J193" s="61" t="s">
        <v>250</v>
      </c>
      <c r="K193" s="4">
        <v>9959900</v>
      </c>
      <c r="L193" s="39">
        <v>109.113</v>
      </c>
      <c r="M193" s="4">
        <v>10911300</v>
      </c>
      <c r="N193" s="4">
        <v>10000000</v>
      </c>
      <c r="O193" s="4">
        <v>9976516</v>
      </c>
      <c r="P193" s="4">
        <v>0</v>
      </c>
      <c r="Q193" s="4">
        <v>5688</v>
      </c>
      <c r="R193" s="4">
        <v>0</v>
      </c>
      <c r="S193" s="4">
        <v>0</v>
      </c>
      <c r="T193" s="23">
        <v>3</v>
      </c>
      <c r="U193" s="23">
        <v>3.0649999999999999</v>
      </c>
      <c r="V193" s="5" t="s">
        <v>3843</v>
      </c>
      <c r="W193" s="4">
        <v>50832</v>
      </c>
      <c r="X193" s="4">
        <v>300000</v>
      </c>
      <c r="Y193" s="11">
        <v>43110</v>
      </c>
      <c r="Z193" s="11">
        <v>45595</v>
      </c>
      <c r="AA193" s="2"/>
      <c r="AB193" s="63" t="s">
        <v>3840</v>
      </c>
      <c r="AC193" s="5" t="s">
        <v>4198</v>
      </c>
      <c r="AD193" s="2"/>
      <c r="AE193" s="11">
        <v>45564</v>
      </c>
      <c r="AF193" s="23">
        <v>100</v>
      </c>
      <c r="AG193" s="6"/>
      <c r="AH193" s="5" t="s">
        <v>277</v>
      </c>
      <c r="AI193" s="5" t="s">
        <v>1367</v>
      </c>
      <c r="AJ193" s="5" t="s">
        <v>3</v>
      </c>
      <c r="AK193" s="16" t="s">
        <v>3</v>
      </c>
      <c r="AL193" s="65" t="s">
        <v>3842</v>
      </c>
      <c r="AM193" s="31" t="s">
        <v>1651</v>
      </c>
    </row>
    <row r="194" spans="2:39" x14ac:dyDescent="0.25">
      <c r="B194" s="18" t="s">
        <v>2461</v>
      </c>
      <c r="C194" s="44" t="s">
        <v>36</v>
      </c>
      <c r="D194" s="20" t="s">
        <v>1367</v>
      </c>
      <c r="E194" s="67" t="s">
        <v>3</v>
      </c>
      <c r="F194" s="51" t="s">
        <v>3</v>
      </c>
      <c r="G194" s="37" t="s">
        <v>3842</v>
      </c>
      <c r="H194" s="68" t="s">
        <v>2715</v>
      </c>
      <c r="I194" s="62" t="s">
        <v>1358</v>
      </c>
      <c r="J194" s="61" t="s">
        <v>250</v>
      </c>
      <c r="K194" s="4">
        <v>4995450</v>
      </c>
      <c r="L194" s="39">
        <v>106.357</v>
      </c>
      <c r="M194" s="4">
        <v>5317850</v>
      </c>
      <c r="N194" s="4">
        <v>5000000</v>
      </c>
      <c r="O194" s="4">
        <v>4997944</v>
      </c>
      <c r="P194" s="4">
        <v>0</v>
      </c>
      <c r="Q194" s="4">
        <v>904</v>
      </c>
      <c r="R194" s="4">
        <v>0</v>
      </c>
      <c r="S194" s="4">
        <v>0</v>
      </c>
      <c r="T194" s="23">
        <v>3.4</v>
      </c>
      <c r="U194" s="23">
        <v>3.42</v>
      </c>
      <c r="V194" s="5" t="s">
        <v>248</v>
      </c>
      <c r="W194" s="4">
        <v>58555</v>
      </c>
      <c r="X194" s="4">
        <v>170000</v>
      </c>
      <c r="Y194" s="11">
        <v>43153</v>
      </c>
      <c r="Z194" s="11">
        <v>44984</v>
      </c>
      <c r="AA194" s="2"/>
      <c r="AB194" s="63" t="s">
        <v>3840</v>
      </c>
      <c r="AC194" s="5" t="s">
        <v>4198</v>
      </c>
      <c r="AD194" s="2"/>
      <c r="AE194" s="10">
        <v>44953</v>
      </c>
      <c r="AF194" s="23">
        <v>100</v>
      </c>
      <c r="AG194" s="6"/>
      <c r="AH194" s="5" t="s">
        <v>277</v>
      </c>
      <c r="AI194" s="5" t="s">
        <v>1367</v>
      </c>
      <c r="AJ194" s="5" t="s">
        <v>3</v>
      </c>
      <c r="AK194" s="16" t="s">
        <v>3</v>
      </c>
      <c r="AL194" s="65" t="s">
        <v>3842</v>
      </c>
      <c r="AM194" s="31" t="s">
        <v>559</v>
      </c>
    </row>
    <row r="195" spans="2:39" x14ac:dyDescent="0.25">
      <c r="B195" s="18" t="s">
        <v>3563</v>
      </c>
      <c r="C195" s="44" t="s">
        <v>2737</v>
      </c>
      <c r="D195" s="20" t="s">
        <v>1367</v>
      </c>
      <c r="E195" s="67" t="s">
        <v>3</v>
      </c>
      <c r="F195" s="51" t="s">
        <v>3</v>
      </c>
      <c r="G195" s="37" t="s">
        <v>3842</v>
      </c>
      <c r="H195" s="68" t="s">
        <v>2715</v>
      </c>
      <c r="I195" s="62" t="s">
        <v>1358</v>
      </c>
      <c r="J195" s="61" t="s">
        <v>250</v>
      </c>
      <c r="K195" s="4">
        <v>3989280</v>
      </c>
      <c r="L195" s="39">
        <v>112.414</v>
      </c>
      <c r="M195" s="4">
        <v>4496560</v>
      </c>
      <c r="N195" s="4">
        <v>4000000</v>
      </c>
      <c r="O195" s="4">
        <v>3991548</v>
      </c>
      <c r="P195" s="4">
        <v>0</v>
      </c>
      <c r="Q195" s="4">
        <v>1418</v>
      </c>
      <c r="R195" s="4">
        <v>0</v>
      </c>
      <c r="S195" s="4">
        <v>0</v>
      </c>
      <c r="T195" s="23">
        <v>3.125</v>
      </c>
      <c r="U195" s="23">
        <v>3.1680000000000001</v>
      </c>
      <c r="V195" s="5" t="s">
        <v>3312</v>
      </c>
      <c r="W195" s="4">
        <v>14235</v>
      </c>
      <c r="X195" s="4">
        <v>125000</v>
      </c>
      <c r="Y195" s="11">
        <v>43600</v>
      </c>
      <c r="Z195" s="11">
        <v>46162</v>
      </c>
      <c r="AA195" s="2"/>
      <c r="AB195" s="63" t="s">
        <v>3840</v>
      </c>
      <c r="AC195" s="5" t="s">
        <v>4198</v>
      </c>
      <c r="AD195" s="2"/>
      <c r="AE195" s="11">
        <v>46132</v>
      </c>
      <c r="AF195" s="23">
        <v>100</v>
      </c>
      <c r="AG195" s="9"/>
      <c r="AH195" s="5" t="s">
        <v>277</v>
      </c>
      <c r="AI195" s="5" t="s">
        <v>1367</v>
      </c>
      <c r="AJ195" s="5" t="s">
        <v>3</v>
      </c>
      <c r="AK195" s="16" t="s">
        <v>3</v>
      </c>
      <c r="AL195" s="65" t="s">
        <v>3842</v>
      </c>
      <c r="AM195" s="31" t="s">
        <v>559</v>
      </c>
    </row>
    <row r="196" spans="2:39" x14ac:dyDescent="0.25">
      <c r="B196" s="18" t="s">
        <v>278</v>
      </c>
      <c r="C196" s="44" t="s">
        <v>3097</v>
      </c>
      <c r="D196" s="20" t="s">
        <v>1655</v>
      </c>
      <c r="E196" s="67" t="s">
        <v>3</v>
      </c>
      <c r="F196" s="51" t="s">
        <v>3</v>
      </c>
      <c r="G196" s="37" t="s">
        <v>2715</v>
      </c>
      <c r="H196" s="68" t="s">
        <v>2715</v>
      </c>
      <c r="I196" s="62" t="s">
        <v>1358</v>
      </c>
      <c r="J196" s="61" t="s">
        <v>250</v>
      </c>
      <c r="K196" s="4">
        <v>9997200</v>
      </c>
      <c r="L196" s="39">
        <v>105.866</v>
      </c>
      <c r="M196" s="4">
        <v>10586600</v>
      </c>
      <c r="N196" s="4">
        <v>10000000</v>
      </c>
      <c r="O196" s="4">
        <v>9997904</v>
      </c>
      <c r="P196" s="4">
        <v>0</v>
      </c>
      <c r="Q196" s="4">
        <v>540</v>
      </c>
      <c r="R196" s="4">
        <v>0</v>
      </c>
      <c r="S196" s="4">
        <v>0</v>
      </c>
      <c r="T196" s="23">
        <v>2.15</v>
      </c>
      <c r="U196" s="23">
        <v>2.1560000000000001</v>
      </c>
      <c r="V196" s="5" t="s">
        <v>12</v>
      </c>
      <c r="W196" s="4">
        <v>66291</v>
      </c>
      <c r="X196" s="4">
        <v>215000</v>
      </c>
      <c r="Y196" s="11">
        <v>43713</v>
      </c>
      <c r="Z196" s="11">
        <v>45545</v>
      </c>
      <c r="AA196" s="2"/>
      <c r="AB196" s="63" t="s">
        <v>3840</v>
      </c>
      <c r="AC196" s="5" t="s">
        <v>4198</v>
      </c>
      <c r="AD196" s="2"/>
      <c r="AE196" s="9"/>
      <c r="AF196" s="23"/>
      <c r="AG196" s="9"/>
      <c r="AH196" s="5" t="s">
        <v>1368</v>
      </c>
      <c r="AI196" s="5" t="s">
        <v>1655</v>
      </c>
      <c r="AJ196" s="5" t="s">
        <v>3</v>
      </c>
      <c r="AK196" s="16" t="s">
        <v>3</v>
      </c>
      <c r="AL196" s="65" t="s">
        <v>3842</v>
      </c>
      <c r="AM196" s="31" t="s">
        <v>559</v>
      </c>
    </row>
    <row r="197" spans="2:39" x14ac:dyDescent="0.25">
      <c r="B197" s="18" t="s">
        <v>1369</v>
      </c>
      <c r="C197" s="44" t="s">
        <v>2240</v>
      </c>
      <c r="D197" s="20" t="s">
        <v>1655</v>
      </c>
      <c r="E197" s="67" t="s">
        <v>3</v>
      </c>
      <c r="F197" s="51" t="s">
        <v>3</v>
      </c>
      <c r="G197" s="37" t="s">
        <v>2715</v>
      </c>
      <c r="H197" s="68" t="s">
        <v>2715</v>
      </c>
      <c r="I197" s="62" t="s">
        <v>1358</v>
      </c>
      <c r="J197" s="61" t="s">
        <v>250</v>
      </c>
      <c r="K197" s="4">
        <v>20046500</v>
      </c>
      <c r="L197" s="39">
        <v>107.73399999999999</v>
      </c>
      <c r="M197" s="4">
        <v>21546800</v>
      </c>
      <c r="N197" s="4">
        <v>20000000</v>
      </c>
      <c r="O197" s="4">
        <v>20041181</v>
      </c>
      <c r="P197" s="4">
        <v>0</v>
      </c>
      <c r="Q197" s="4">
        <v>-5319</v>
      </c>
      <c r="R197" s="4">
        <v>0</v>
      </c>
      <c r="S197" s="4">
        <v>0</v>
      </c>
      <c r="T197" s="23">
        <v>2.35</v>
      </c>
      <c r="U197" s="23">
        <v>2.3130000000000002</v>
      </c>
      <c r="V197" s="5" t="s">
        <v>1982</v>
      </c>
      <c r="W197" s="4">
        <v>225860</v>
      </c>
      <c r="X197" s="4">
        <v>232389</v>
      </c>
      <c r="Y197" s="11">
        <v>43873</v>
      </c>
      <c r="Z197" s="11">
        <v>46395</v>
      </c>
      <c r="AA197" s="2"/>
      <c r="AB197" s="63" t="s">
        <v>3840</v>
      </c>
      <c r="AC197" s="5" t="s">
        <v>4198</v>
      </c>
      <c r="AD197" s="2"/>
      <c r="AE197" s="9"/>
      <c r="AF197" s="23"/>
      <c r="AG197" s="6"/>
      <c r="AH197" s="5" t="s">
        <v>1368</v>
      </c>
      <c r="AI197" s="5" t="s">
        <v>1655</v>
      </c>
      <c r="AJ197" s="5" t="s">
        <v>3</v>
      </c>
      <c r="AK197" s="16" t="s">
        <v>3</v>
      </c>
      <c r="AL197" s="65" t="s">
        <v>3842</v>
      </c>
      <c r="AM197" s="31" t="s">
        <v>559</v>
      </c>
    </row>
    <row r="198" spans="2:39" x14ac:dyDescent="0.25">
      <c r="B198" s="18" t="s">
        <v>2462</v>
      </c>
      <c r="C198" s="44" t="s">
        <v>3564</v>
      </c>
      <c r="D198" s="20" t="s">
        <v>37</v>
      </c>
      <c r="E198" s="67" t="s">
        <v>3</v>
      </c>
      <c r="F198" s="51" t="s">
        <v>3</v>
      </c>
      <c r="G198" s="37" t="s">
        <v>3</v>
      </c>
      <c r="H198" s="68" t="s">
        <v>3842</v>
      </c>
      <c r="I198" s="62" t="s">
        <v>1157</v>
      </c>
      <c r="J198" s="61" t="s">
        <v>250</v>
      </c>
      <c r="K198" s="4">
        <v>3109370</v>
      </c>
      <c r="L198" s="39">
        <v>106.125</v>
      </c>
      <c r="M198" s="4">
        <v>3183750</v>
      </c>
      <c r="N198" s="4">
        <v>3000000</v>
      </c>
      <c r="O198" s="4">
        <v>3041246</v>
      </c>
      <c r="P198" s="4">
        <v>0</v>
      </c>
      <c r="Q198" s="4">
        <v>-19005</v>
      </c>
      <c r="R198" s="4">
        <v>0</v>
      </c>
      <c r="S198" s="4">
        <v>0</v>
      </c>
      <c r="T198" s="23">
        <v>3.5</v>
      </c>
      <c r="U198" s="23">
        <v>2.8149999999999999</v>
      </c>
      <c r="V198" s="5" t="s">
        <v>1982</v>
      </c>
      <c r="W198" s="4">
        <v>44041</v>
      </c>
      <c r="X198" s="4">
        <v>105000</v>
      </c>
      <c r="Y198" s="11">
        <v>43553</v>
      </c>
      <c r="Z198" s="11">
        <v>44957</v>
      </c>
      <c r="AA198" s="2"/>
      <c r="AB198" s="63" t="s">
        <v>3840</v>
      </c>
      <c r="AC198" s="5" t="s">
        <v>4198</v>
      </c>
      <c r="AD198" s="2"/>
      <c r="AE198" s="9"/>
      <c r="AF198" s="23"/>
      <c r="AG198" s="6"/>
      <c r="AH198" s="5" t="s">
        <v>930</v>
      </c>
      <c r="AI198" s="5" t="s">
        <v>37</v>
      </c>
      <c r="AJ198" s="5" t="s">
        <v>3</v>
      </c>
      <c r="AK198" s="16" t="s">
        <v>3</v>
      </c>
      <c r="AL198" s="65" t="s">
        <v>3842</v>
      </c>
      <c r="AM198" s="31" t="s">
        <v>926</v>
      </c>
    </row>
    <row r="199" spans="2:39" x14ac:dyDescent="0.25">
      <c r="B199" s="18" t="s">
        <v>3863</v>
      </c>
      <c r="C199" s="44" t="s">
        <v>3565</v>
      </c>
      <c r="D199" s="20" t="s">
        <v>38</v>
      </c>
      <c r="E199" s="67" t="s">
        <v>3</v>
      </c>
      <c r="F199" s="51" t="s">
        <v>3</v>
      </c>
      <c r="G199" s="37" t="s">
        <v>2715</v>
      </c>
      <c r="H199" s="68" t="s">
        <v>3842</v>
      </c>
      <c r="I199" s="62" t="s">
        <v>1157</v>
      </c>
      <c r="J199" s="61" t="s">
        <v>250</v>
      </c>
      <c r="K199" s="4">
        <v>4463460</v>
      </c>
      <c r="L199" s="39">
        <v>108.416</v>
      </c>
      <c r="M199" s="4">
        <v>4878720</v>
      </c>
      <c r="N199" s="4">
        <v>4500000</v>
      </c>
      <c r="O199" s="4">
        <v>4473051</v>
      </c>
      <c r="P199" s="4">
        <v>0</v>
      </c>
      <c r="Q199" s="4">
        <v>6184</v>
      </c>
      <c r="R199" s="4">
        <v>0</v>
      </c>
      <c r="S199" s="4">
        <v>0</v>
      </c>
      <c r="T199" s="23">
        <v>2.95</v>
      </c>
      <c r="U199" s="23">
        <v>3.109</v>
      </c>
      <c r="V199" s="5" t="s">
        <v>1982</v>
      </c>
      <c r="W199" s="4">
        <v>61212</v>
      </c>
      <c r="X199" s="4">
        <v>144550</v>
      </c>
      <c r="Y199" s="11">
        <v>43626</v>
      </c>
      <c r="Z199" s="11">
        <v>45672</v>
      </c>
      <c r="AA199" s="2"/>
      <c r="AB199" s="63" t="s">
        <v>3840</v>
      </c>
      <c r="AC199" s="5" t="s">
        <v>4198</v>
      </c>
      <c r="AD199" s="2"/>
      <c r="AE199" s="11">
        <v>45641</v>
      </c>
      <c r="AF199" s="23">
        <v>100</v>
      </c>
      <c r="AG199" s="6"/>
      <c r="AH199" s="5" t="s">
        <v>930</v>
      </c>
      <c r="AI199" s="5" t="s">
        <v>37</v>
      </c>
      <c r="AJ199" s="5" t="s">
        <v>2241</v>
      </c>
      <c r="AK199" s="16" t="s">
        <v>3</v>
      </c>
      <c r="AL199" s="65" t="s">
        <v>3842</v>
      </c>
      <c r="AM199" s="31" t="s">
        <v>926</v>
      </c>
    </row>
    <row r="200" spans="2:39" x14ac:dyDescent="0.25">
      <c r="B200" s="18" t="s">
        <v>569</v>
      </c>
      <c r="C200" s="44" t="s">
        <v>279</v>
      </c>
      <c r="D200" s="20" t="s">
        <v>38</v>
      </c>
      <c r="E200" s="67" t="s">
        <v>3</v>
      </c>
      <c r="F200" s="51" t="s">
        <v>3</v>
      </c>
      <c r="G200" s="37" t="s">
        <v>2715</v>
      </c>
      <c r="H200" s="68" t="s">
        <v>3842</v>
      </c>
      <c r="I200" s="62" t="s">
        <v>1157</v>
      </c>
      <c r="J200" s="61" t="s">
        <v>250</v>
      </c>
      <c r="K200" s="4">
        <v>4995250</v>
      </c>
      <c r="L200" s="39">
        <v>106.514</v>
      </c>
      <c r="M200" s="4">
        <v>5325700</v>
      </c>
      <c r="N200" s="4">
        <v>5000000</v>
      </c>
      <c r="O200" s="4">
        <v>4996244</v>
      </c>
      <c r="P200" s="4">
        <v>0</v>
      </c>
      <c r="Q200" s="4">
        <v>994</v>
      </c>
      <c r="R200" s="4">
        <v>0</v>
      </c>
      <c r="S200" s="4">
        <v>0</v>
      </c>
      <c r="T200" s="23">
        <v>2.4</v>
      </c>
      <c r="U200" s="23">
        <v>2.419</v>
      </c>
      <c r="V200" s="5" t="s">
        <v>12</v>
      </c>
      <c r="W200" s="4">
        <v>35332</v>
      </c>
      <c r="X200" s="4">
        <v>81667</v>
      </c>
      <c r="Y200" s="11">
        <v>43837</v>
      </c>
      <c r="Z200" s="11">
        <v>45731</v>
      </c>
      <c r="AA200" s="2"/>
      <c r="AB200" s="63" t="s">
        <v>3840</v>
      </c>
      <c r="AC200" s="5" t="s">
        <v>4198</v>
      </c>
      <c r="AD200" s="2"/>
      <c r="AE200" s="11">
        <v>45703</v>
      </c>
      <c r="AF200" s="23">
        <v>100</v>
      </c>
      <c r="AG200" s="6"/>
      <c r="AH200" s="5" t="s">
        <v>930</v>
      </c>
      <c r="AI200" s="5" t="s">
        <v>37</v>
      </c>
      <c r="AJ200" s="5" t="s">
        <v>2241</v>
      </c>
      <c r="AK200" s="16" t="s">
        <v>3</v>
      </c>
      <c r="AL200" s="65" t="s">
        <v>3842</v>
      </c>
      <c r="AM200" s="31" t="s">
        <v>926</v>
      </c>
    </row>
    <row r="201" spans="2:39" x14ac:dyDescent="0.25">
      <c r="B201" s="18" t="s">
        <v>1656</v>
      </c>
      <c r="C201" s="44" t="s">
        <v>2242</v>
      </c>
      <c r="D201" s="20" t="s">
        <v>2738</v>
      </c>
      <c r="E201" s="67" t="s">
        <v>3</v>
      </c>
      <c r="F201" s="51" t="s">
        <v>3</v>
      </c>
      <c r="G201" s="37" t="s">
        <v>2715</v>
      </c>
      <c r="H201" s="68" t="s">
        <v>3842</v>
      </c>
      <c r="I201" s="62" t="s">
        <v>10</v>
      </c>
      <c r="J201" s="61" t="s">
        <v>250</v>
      </c>
      <c r="K201" s="4">
        <v>14787600</v>
      </c>
      <c r="L201" s="39">
        <v>108.67700000000001</v>
      </c>
      <c r="M201" s="4">
        <v>16301550</v>
      </c>
      <c r="N201" s="4">
        <v>15000000</v>
      </c>
      <c r="O201" s="4">
        <v>14868754</v>
      </c>
      <c r="P201" s="4">
        <v>0</v>
      </c>
      <c r="Q201" s="4">
        <v>35274</v>
      </c>
      <c r="R201" s="4">
        <v>0</v>
      </c>
      <c r="S201" s="4">
        <v>0</v>
      </c>
      <c r="T201" s="23">
        <v>3.4</v>
      </c>
      <c r="U201" s="23">
        <v>3.6739999999999999</v>
      </c>
      <c r="V201" s="5" t="s">
        <v>3312</v>
      </c>
      <c r="W201" s="4">
        <v>65166</v>
      </c>
      <c r="X201" s="4">
        <v>510000</v>
      </c>
      <c r="Y201" s="11">
        <v>43553</v>
      </c>
      <c r="Z201" s="11">
        <v>45427</v>
      </c>
      <c r="AA201" s="2"/>
      <c r="AB201" s="63" t="s">
        <v>3840</v>
      </c>
      <c r="AC201" s="5" t="s">
        <v>4198</v>
      </c>
      <c r="AD201" s="2"/>
      <c r="AE201" s="11">
        <v>45337</v>
      </c>
      <c r="AF201" s="23">
        <v>100</v>
      </c>
      <c r="AG201" s="10">
        <v>45337</v>
      </c>
      <c r="AH201" s="5" t="s">
        <v>1657</v>
      </c>
      <c r="AI201" s="5" t="s">
        <v>2738</v>
      </c>
      <c r="AJ201" s="5" t="s">
        <v>3</v>
      </c>
      <c r="AK201" s="16" t="s">
        <v>3</v>
      </c>
      <c r="AL201" s="65" t="s">
        <v>3842</v>
      </c>
      <c r="AM201" s="31" t="s">
        <v>1176</v>
      </c>
    </row>
    <row r="202" spans="2:39" x14ac:dyDescent="0.25">
      <c r="B202" s="18" t="s">
        <v>2739</v>
      </c>
      <c r="C202" s="44" t="s">
        <v>2740</v>
      </c>
      <c r="D202" s="20" t="s">
        <v>3864</v>
      </c>
      <c r="E202" s="67" t="s">
        <v>3</v>
      </c>
      <c r="F202" s="51" t="s">
        <v>3</v>
      </c>
      <c r="G202" s="37" t="s">
        <v>2715</v>
      </c>
      <c r="H202" s="68" t="s">
        <v>2715</v>
      </c>
      <c r="I202" s="62" t="s">
        <v>1358</v>
      </c>
      <c r="J202" s="61" t="s">
        <v>250</v>
      </c>
      <c r="K202" s="4">
        <v>7698370</v>
      </c>
      <c r="L202" s="39">
        <v>110.861</v>
      </c>
      <c r="M202" s="4">
        <v>8151609</v>
      </c>
      <c r="N202" s="4">
        <v>7353000</v>
      </c>
      <c r="O202" s="4">
        <v>7653578</v>
      </c>
      <c r="P202" s="4">
        <v>0</v>
      </c>
      <c r="Q202" s="4">
        <v>-44792</v>
      </c>
      <c r="R202" s="4">
        <v>0</v>
      </c>
      <c r="S202" s="4">
        <v>0</v>
      </c>
      <c r="T202" s="23">
        <v>2.875</v>
      </c>
      <c r="U202" s="23">
        <v>2.0790000000000002</v>
      </c>
      <c r="V202" s="5" t="s">
        <v>12</v>
      </c>
      <c r="W202" s="4">
        <v>62244</v>
      </c>
      <c r="X202" s="4">
        <v>211399</v>
      </c>
      <c r="Y202" s="11">
        <v>43873</v>
      </c>
      <c r="Z202" s="11">
        <v>46280</v>
      </c>
      <c r="AA202" s="2"/>
      <c r="AB202" s="63" t="s">
        <v>3840</v>
      </c>
      <c r="AC202" s="5" t="s">
        <v>4198</v>
      </c>
      <c r="AD202" s="2"/>
      <c r="AE202" s="10">
        <v>46188</v>
      </c>
      <c r="AF202" s="23">
        <v>100</v>
      </c>
      <c r="AG202" s="10">
        <v>46188</v>
      </c>
      <c r="AH202" s="5" t="s">
        <v>2741</v>
      </c>
      <c r="AI202" s="5" t="s">
        <v>3864</v>
      </c>
      <c r="AJ202" s="5" t="s">
        <v>3</v>
      </c>
      <c r="AK202" s="16" t="s">
        <v>3</v>
      </c>
      <c r="AL202" s="65" t="s">
        <v>3842</v>
      </c>
      <c r="AM202" s="31" t="s">
        <v>559</v>
      </c>
    </row>
    <row r="203" spans="2:39" x14ac:dyDescent="0.25">
      <c r="B203" s="18" t="s">
        <v>3865</v>
      </c>
      <c r="C203" s="44" t="s">
        <v>3098</v>
      </c>
      <c r="D203" s="20" t="s">
        <v>280</v>
      </c>
      <c r="E203" s="67" t="s">
        <v>3</v>
      </c>
      <c r="F203" s="51" t="s">
        <v>3</v>
      </c>
      <c r="G203" s="37" t="s">
        <v>2715</v>
      </c>
      <c r="H203" s="68" t="s">
        <v>3842</v>
      </c>
      <c r="I203" s="62" t="s">
        <v>3310</v>
      </c>
      <c r="J203" s="61" t="s">
        <v>250</v>
      </c>
      <c r="K203" s="4">
        <v>4934250</v>
      </c>
      <c r="L203" s="39">
        <v>109.776</v>
      </c>
      <c r="M203" s="4">
        <v>5488800</v>
      </c>
      <c r="N203" s="4">
        <v>5000000</v>
      </c>
      <c r="O203" s="4">
        <v>4957516</v>
      </c>
      <c r="P203" s="4">
        <v>0</v>
      </c>
      <c r="Q203" s="4">
        <v>11504</v>
      </c>
      <c r="R203" s="4">
        <v>0</v>
      </c>
      <c r="S203" s="4">
        <v>0</v>
      </c>
      <c r="T203" s="23">
        <v>3.625</v>
      </c>
      <c r="U203" s="23">
        <v>3.895</v>
      </c>
      <c r="V203" s="5" t="s">
        <v>3312</v>
      </c>
      <c r="W203" s="4">
        <v>19634</v>
      </c>
      <c r="X203" s="4">
        <v>181250</v>
      </c>
      <c r="Y203" s="11">
        <v>43441</v>
      </c>
      <c r="Z203" s="11">
        <v>45434</v>
      </c>
      <c r="AA203" s="2"/>
      <c r="AB203" s="63" t="s">
        <v>3840</v>
      </c>
      <c r="AC203" s="5" t="s">
        <v>4198</v>
      </c>
      <c r="AD203" s="2"/>
      <c r="AE203" s="11">
        <v>45344</v>
      </c>
      <c r="AF203" s="23">
        <v>100</v>
      </c>
      <c r="AG203" s="6"/>
      <c r="AH203" s="5" t="s">
        <v>39</v>
      </c>
      <c r="AI203" s="5" t="s">
        <v>280</v>
      </c>
      <c r="AJ203" s="5" t="s">
        <v>3</v>
      </c>
      <c r="AK203" s="16" t="s">
        <v>3</v>
      </c>
      <c r="AL203" s="65" t="s">
        <v>3842</v>
      </c>
      <c r="AM203" s="31" t="s">
        <v>1651</v>
      </c>
    </row>
    <row r="204" spans="2:39" x14ac:dyDescent="0.25">
      <c r="B204" s="18" t="s">
        <v>1370</v>
      </c>
      <c r="C204" s="44" t="s">
        <v>2742</v>
      </c>
      <c r="D204" s="20" t="s">
        <v>280</v>
      </c>
      <c r="E204" s="67" t="s">
        <v>3</v>
      </c>
      <c r="F204" s="51" t="s">
        <v>3</v>
      </c>
      <c r="G204" s="37" t="s">
        <v>2715</v>
      </c>
      <c r="H204" s="68" t="s">
        <v>3842</v>
      </c>
      <c r="I204" s="62" t="s">
        <v>3310</v>
      </c>
      <c r="J204" s="61" t="s">
        <v>250</v>
      </c>
      <c r="K204" s="4">
        <v>7148710</v>
      </c>
      <c r="L204" s="39">
        <v>106.884</v>
      </c>
      <c r="M204" s="4">
        <v>7481880</v>
      </c>
      <c r="N204" s="4">
        <v>7000000</v>
      </c>
      <c r="O204" s="4">
        <v>7135861</v>
      </c>
      <c r="P204" s="4">
        <v>0</v>
      </c>
      <c r="Q204" s="4">
        <v>-12849</v>
      </c>
      <c r="R204" s="4">
        <v>0</v>
      </c>
      <c r="S204" s="4">
        <v>0</v>
      </c>
      <c r="T204" s="23">
        <v>2.2000000000000002</v>
      </c>
      <c r="U204" s="23">
        <v>1.853</v>
      </c>
      <c r="V204" s="5" t="s">
        <v>248</v>
      </c>
      <c r="W204" s="4">
        <v>55610</v>
      </c>
      <c r="X204" s="4">
        <v>77000</v>
      </c>
      <c r="Y204" s="11">
        <v>43985</v>
      </c>
      <c r="Z204" s="11">
        <v>46439</v>
      </c>
      <c r="AA204" s="2"/>
      <c r="AB204" s="63" t="s">
        <v>3840</v>
      </c>
      <c r="AC204" s="5" t="s">
        <v>4198</v>
      </c>
      <c r="AD204" s="2"/>
      <c r="AE204" s="11">
        <v>46377</v>
      </c>
      <c r="AF204" s="23">
        <v>100</v>
      </c>
      <c r="AG204" s="11">
        <v>46377</v>
      </c>
      <c r="AH204" s="5" t="s">
        <v>39</v>
      </c>
      <c r="AI204" s="5" t="s">
        <v>280</v>
      </c>
      <c r="AJ204" s="5" t="s">
        <v>3</v>
      </c>
      <c r="AK204" s="16" t="s">
        <v>3</v>
      </c>
      <c r="AL204" s="65" t="s">
        <v>3842</v>
      </c>
      <c r="AM204" s="31" t="s">
        <v>1651</v>
      </c>
    </row>
    <row r="205" spans="2:39" x14ac:dyDescent="0.25">
      <c r="B205" s="18" t="s">
        <v>2463</v>
      </c>
      <c r="C205" s="44" t="s">
        <v>3566</v>
      </c>
      <c r="D205" s="20" t="s">
        <v>1181</v>
      </c>
      <c r="E205" s="67" t="s">
        <v>3</v>
      </c>
      <c r="F205" s="51" t="s">
        <v>3</v>
      </c>
      <c r="G205" s="37" t="s">
        <v>2715</v>
      </c>
      <c r="H205" s="68" t="s">
        <v>3842</v>
      </c>
      <c r="I205" s="62" t="s">
        <v>3310</v>
      </c>
      <c r="J205" s="61" t="s">
        <v>250</v>
      </c>
      <c r="K205" s="4">
        <v>2577150</v>
      </c>
      <c r="L205" s="39">
        <v>102.828</v>
      </c>
      <c r="M205" s="4">
        <v>2570700</v>
      </c>
      <c r="N205" s="4">
        <v>2500000</v>
      </c>
      <c r="O205" s="4">
        <v>2525448</v>
      </c>
      <c r="P205" s="4">
        <v>0</v>
      </c>
      <c r="Q205" s="4">
        <v>-29698</v>
      </c>
      <c r="R205" s="4">
        <v>0</v>
      </c>
      <c r="S205" s="4">
        <v>0</v>
      </c>
      <c r="T205" s="23">
        <v>4</v>
      </c>
      <c r="U205" s="23">
        <v>2.7589999999999999</v>
      </c>
      <c r="V205" s="5" t="s">
        <v>248</v>
      </c>
      <c r="W205" s="4">
        <v>41666</v>
      </c>
      <c r="X205" s="4">
        <v>100000</v>
      </c>
      <c r="Y205" s="11">
        <v>43551</v>
      </c>
      <c r="Z205" s="11">
        <v>44593</v>
      </c>
      <c r="AA205" s="2"/>
      <c r="AB205" s="63" t="s">
        <v>3840</v>
      </c>
      <c r="AC205" s="5" t="s">
        <v>9</v>
      </c>
      <c r="AD205" s="2"/>
      <c r="AE205" s="11">
        <v>44501</v>
      </c>
      <c r="AF205" s="23">
        <v>100</v>
      </c>
      <c r="AG205" s="11">
        <v>44501</v>
      </c>
      <c r="AH205" s="5" t="s">
        <v>570</v>
      </c>
      <c r="AI205" s="5" t="s">
        <v>3334</v>
      </c>
      <c r="AJ205" s="5" t="s">
        <v>3334</v>
      </c>
      <c r="AK205" s="16" t="s">
        <v>3</v>
      </c>
      <c r="AL205" s="65" t="s">
        <v>3842</v>
      </c>
      <c r="AM205" s="31" t="s">
        <v>1651</v>
      </c>
    </row>
    <row r="206" spans="2:39" x14ac:dyDescent="0.25">
      <c r="B206" s="18" t="s">
        <v>3567</v>
      </c>
      <c r="C206" s="44" t="s">
        <v>281</v>
      </c>
      <c r="D206" s="20" t="s">
        <v>931</v>
      </c>
      <c r="E206" s="67" t="s">
        <v>3</v>
      </c>
      <c r="F206" s="51" t="s">
        <v>3</v>
      </c>
      <c r="G206" s="37" t="s">
        <v>2715</v>
      </c>
      <c r="H206" s="68" t="s">
        <v>3842</v>
      </c>
      <c r="I206" s="62" t="s">
        <v>3310</v>
      </c>
      <c r="J206" s="61" t="s">
        <v>250</v>
      </c>
      <c r="K206" s="4">
        <v>4995000</v>
      </c>
      <c r="L206" s="39">
        <v>113.831</v>
      </c>
      <c r="M206" s="4">
        <v>5691550</v>
      </c>
      <c r="N206" s="4">
        <v>5000000</v>
      </c>
      <c r="O206" s="4">
        <v>4996483</v>
      </c>
      <c r="P206" s="4">
        <v>0</v>
      </c>
      <c r="Q206" s="4">
        <v>779</v>
      </c>
      <c r="R206" s="4">
        <v>0</v>
      </c>
      <c r="S206" s="4">
        <v>0</v>
      </c>
      <c r="T206" s="23">
        <v>4.1500000000000004</v>
      </c>
      <c r="U206" s="23">
        <v>4.1689999999999996</v>
      </c>
      <c r="V206" s="5" t="s">
        <v>1982</v>
      </c>
      <c r="W206" s="4">
        <v>91069</v>
      </c>
      <c r="X206" s="4">
        <v>207500</v>
      </c>
      <c r="Y206" s="11">
        <v>43475</v>
      </c>
      <c r="Z206" s="11">
        <v>45680</v>
      </c>
      <c r="AA206" s="2"/>
      <c r="AB206" s="63" t="s">
        <v>3840</v>
      </c>
      <c r="AC206" s="5" t="s">
        <v>4198</v>
      </c>
      <c r="AD206" s="2"/>
      <c r="AE206" s="11">
        <v>45649</v>
      </c>
      <c r="AF206" s="23">
        <v>100</v>
      </c>
      <c r="AG206" s="6"/>
      <c r="AH206" s="5" t="s">
        <v>3099</v>
      </c>
      <c r="AI206" s="5" t="s">
        <v>931</v>
      </c>
      <c r="AJ206" s="5" t="s">
        <v>3</v>
      </c>
      <c r="AK206" s="16" t="s">
        <v>3</v>
      </c>
      <c r="AL206" s="65" t="s">
        <v>3842</v>
      </c>
      <c r="AM206" s="31" t="s">
        <v>1651</v>
      </c>
    </row>
    <row r="207" spans="2:39" x14ac:dyDescent="0.25">
      <c r="B207" s="18" t="s">
        <v>571</v>
      </c>
      <c r="C207" s="44" t="s">
        <v>3568</v>
      </c>
      <c r="D207" s="20" t="s">
        <v>572</v>
      </c>
      <c r="E207" s="67" t="s">
        <v>3</v>
      </c>
      <c r="F207" s="51" t="s">
        <v>3</v>
      </c>
      <c r="G207" s="37" t="s">
        <v>2715</v>
      </c>
      <c r="H207" s="68" t="s">
        <v>1987</v>
      </c>
      <c r="I207" s="62" t="s">
        <v>1157</v>
      </c>
      <c r="J207" s="61" t="s">
        <v>250</v>
      </c>
      <c r="K207" s="4">
        <v>3000000</v>
      </c>
      <c r="L207" s="39">
        <v>96.2</v>
      </c>
      <c r="M207" s="4">
        <v>2886000</v>
      </c>
      <c r="N207" s="4">
        <v>3000000</v>
      </c>
      <c r="O207" s="4">
        <v>2886000</v>
      </c>
      <c r="P207" s="4">
        <v>268050</v>
      </c>
      <c r="Q207" s="4">
        <v>0</v>
      </c>
      <c r="R207" s="4">
        <v>0</v>
      </c>
      <c r="S207" s="4">
        <v>0</v>
      </c>
      <c r="T207" s="23">
        <v>5.75</v>
      </c>
      <c r="U207" s="23">
        <v>5.75</v>
      </c>
      <c r="V207" s="5" t="s">
        <v>1982</v>
      </c>
      <c r="W207" s="4">
        <v>79542</v>
      </c>
      <c r="X207" s="4">
        <v>180646</v>
      </c>
      <c r="Y207" s="11">
        <v>43641</v>
      </c>
      <c r="Z207" s="11">
        <v>46767</v>
      </c>
      <c r="AA207" s="2"/>
      <c r="AB207" s="63" t="s">
        <v>3840</v>
      </c>
      <c r="AC207" s="5" t="s">
        <v>4198</v>
      </c>
      <c r="AD207" s="2"/>
      <c r="AE207" s="11">
        <v>44941</v>
      </c>
      <c r="AF207" s="23">
        <v>102.875</v>
      </c>
      <c r="AG207" s="6"/>
      <c r="AH207" s="5" t="s">
        <v>3</v>
      </c>
      <c r="AI207" s="5" t="s">
        <v>1371</v>
      </c>
      <c r="AJ207" s="5" t="s">
        <v>928</v>
      </c>
      <c r="AK207" s="16" t="s">
        <v>3</v>
      </c>
      <c r="AL207" s="65" t="s">
        <v>3842</v>
      </c>
      <c r="AM207" s="31" t="s">
        <v>3866</v>
      </c>
    </row>
    <row r="208" spans="2:39" x14ac:dyDescent="0.25">
      <c r="B208" s="18" t="s">
        <v>1658</v>
      </c>
      <c r="C208" s="44" t="s">
        <v>3569</v>
      </c>
      <c r="D208" s="20" t="s">
        <v>2243</v>
      </c>
      <c r="E208" s="67" t="s">
        <v>3</v>
      </c>
      <c r="F208" s="51" t="s">
        <v>3</v>
      </c>
      <c r="G208" s="37" t="s">
        <v>3</v>
      </c>
      <c r="H208" s="68" t="s">
        <v>2715</v>
      </c>
      <c r="I208" s="62" t="s">
        <v>10</v>
      </c>
      <c r="J208" s="61" t="s">
        <v>250</v>
      </c>
      <c r="K208" s="4">
        <v>5060000</v>
      </c>
      <c r="L208" s="39">
        <v>100.886</v>
      </c>
      <c r="M208" s="4">
        <v>5044300</v>
      </c>
      <c r="N208" s="4">
        <v>5000000</v>
      </c>
      <c r="O208" s="4">
        <v>5003340</v>
      </c>
      <c r="P208" s="4">
        <v>0</v>
      </c>
      <c r="Q208" s="4">
        <v>-9469</v>
      </c>
      <c r="R208" s="4">
        <v>0</v>
      </c>
      <c r="S208" s="4">
        <v>0</v>
      </c>
      <c r="T208" s="23">
        <v>2.85</v>
      </c>
      <c r="U208" s="23">
        <v>2.6549999999999998</v>
      </c>
      <c r="V208" s="5" t="s">
        <v>3312</v>
      </c>
      <c r="W208" s="4">
        <v>21771</v>
      </c>
      <c r="X208" s="4">
        <v>142500</v>
      </c>
      <c r="Y208" s="11">
        <v>41842</v>
      </c>
      <c r="Z208" s="11">
        <v>44322</v>
      </c>
      <c r="AA208" s="2"/>
      <c r="AB208" s="63" t="s">
        <v>3840</v>
      </c>
      <c r="AC208" s="5" t="s">
        <v>4198</v>
      </c>
      <c r="AD208" s="2"/>
      <c r="AE208" s="9"/>
      <c r="AF208" s="23"/>
      <c r="AG208" s="6"/>
      <c r="AH208" s="5" t="s">
        <v>282</v>
      </c>
      <c r="AI208" s="5" t="s">
        <v>2243</v>
      </c>
      <c r="AJ208" s="5" t="s">
        <v>3</v>
      </c>
      <c r="AK208" s="16" t="s">
        <v>3</v>
      </c>
      <c r="AL208" s="65" t="s">
        <v>3842</v>
      </c>
      <c r="AM208" s="31" t="s">
        <v>1992</v>
      </c>
    </row>
    <row r="209" spans="2:39" x14ac:dyDescent="0.25">
      <c r="B209" s="18" t="s">
        <v>2743</v>
      </c>
      <c r="C209" s="44" t="s">
        <v>3335</v>
      </c>
      <c r="D209" s="20" t="s">
        <v>2243</v>
      </c>
      <c r="E209" s="67" t="s">
        <v>3</v>
      </c>
      <c r="F209" s="51" t="s">
        <v>3</v>
      </c>
      <c r="G209" s="37" t="s">
        <v>2715</v>
      </c>
      <c r="H209" s="68" t="s">
        <v>2715</v>
      </c>
      <c r="I209" s="62" t="s">
        <v>10</v>
      </c>
      <c r="J209" s="61" t="s">
        <v>250</v>
      </c>
      <c r="K209" s="4">
        <v>8826733</v>
      </c>
      <c r="L209" s="39">
        <v>105.119</v>
      </c>
      <c r="M209" s="4">
        <v>9250472</v>
      </c>
      <c r="N209" s="4">
        <v>8800000</v>
      </c>
      <c r="O209" s="4">
        <v>8815825</v>
      </c>
      <c r="P209" s="4">
        <v>0</v>
      </c>
      <c r="Q209" s="4">
        <v>-7759</v>
      </c>
      <c r="R209" s="4">
        <v>0</v>
      </c>
      <c r="S209" s="4">
        <v>0</v>
      </c>
      <c r="T209" s="23">
        <v>2.85</v>
      </c>
      <c r="U209" s="23">
        <v>2.7549999999999999</v>
      </c>
      <c r="V209" s="5" t="s">
        <v>248</v>
      </c>
      <c r="W209" s="4">
        <v>89173</v>
      </c>
      <c r="X209" s="4">
        <v>250800</v>
      </c>
      <c r="Y209" s="11">
        <v>43551</v>
      </c>
      <c r="Z209" s="11">
        <v>44980</v>
      </c>
      <c r="AA209" s="2"/>
      <c r="AB209" s="63" t="s">
        <v>3840</v>
      </c>
      <c r="AC209" s="5" t="s">
        <v>4198</v>
      </c>
      <c r="AD209" s="2"/>
      <c r="AE209" s="11">
        <v>44918</v>
      </c>
      <c r="AF209" s="23">
        <v>100</v>
      </c>
      <c r="AG209" s="10">
        <v>44918</v>
      </c>
      <c r="AH209" s="5" t="s">
        <v>282</v>
      </c>
      <c r="AI209" s="5" t="s">
        <v>2243</v>
      </c>
      <c r="AJ209" s="5" t="s">
        <v>3</v>
      </c>
      <c r="AK209" s="16" t="s">
        <v>3</v>
      </c>
      <c r="AL209" s="65" t="s">
        <v>3842</v>
      </c>
      <c r="AM209" s="31" t="s">
        <v>1992</v>
      </c>
    </row>
    <row r="210" spans="2:39" x14ac:dyDescent="0.25">
      <c r="B210" s="18" t="s">
        <v>3867</v>
      </c>
      <c r="C210" s="44" t="s">
        <v>2744</v>
      </c>
      <c r="D210" s="20" t="s">
        <v>2243</v>
      </c>
      <c r="E210" s="67" t="s">
        <v>3</v>
      </c>
      <c r="F210" s="51" t="s">
        <v>3</v>
      </c>
      <c r="G210" s="37" t="s">
        <v>3842</v>
      </c>
      <c r="H210" s="68" t="s">
        <v>2715</v>
      </c>
      <c r="I210" s="62" t="s">
        <v>10</v>
      </c>
      <c r="J210" s="61" t="s">
        <v>250</v>
      </c>
      <c r="K210" s="4">
        <v>4797887</v>
      </c>
      <c r="L210" s="39">
        <v>107.604</v>
      </c>
      <c r="M210" s="4">
        <v>5164992</v>
      </c>
      <c r="N210" s="4">
        <v>4800000</v>
      </c>
      <c r="O210" s="4">
        <v>4799009</v>
      </c>
      <c r="P210" s="4">
        <v>0</v>
      </c>
      <c r="Q210" s="4">
        <v>300</v>
      </c>
      <c r="R210" s="4">
        <v>0</v>
      </c>
      <c r="S210" s="4">
        <v>0</v>
      </c>
      <c r="T210" s="23">
        <v>3</v>
      </c>
      <c r="U210" s="23">
        <v>3.0070000000000001</v>
      </c>
      <c r="V210" s="5" t="s">
        <v>248</v>
      </c>
      <c r="W210" s="4">
        <v>56800</v>
      </c>
      <c r="X210" s="4">
        <v>144000</v>
      </c>
      <c r="Y210" s="11">
        <v>42768</v>
      </c>
      <c r="Z210" s="11">
        <v>45331</v>
      </c>
      <c r="AA210" s="2"/>
      <c r="AB210" s="63" t="s">
        <v>3840</v>
      </c>
      <c r="AC210" s="5" t="s">
        <v>4198</v>
      </c>
      <c r="AD210" s="2"/>
      <c r="AE210" s="11">
        <v>45269</v>
      </c>
      <c r="AF210" s="23">
        <v>100</v>
      </c>
      <c r="AG210" s="6"/>
      <c r="AH210" s="5" t="s">
        <v>282</v>
      </c>
      <c r="AI210" s="5" t="s">
        <v>2243</v>
      </c>
      <c r="AJ210" s="5" t="s">
        <v>3</v>
      </c>
      <c r="AK210" s="16" t="s">
        <v>3</v>
      </c>
      <c r="AL210" s="65" t="s">
        <v>3842</v>
      </c>
      <c r="AM210" s="31" t="s">
        <v>1992</v>
      </c>
    </row>
    <row r="211" spans="2:39" x14ac:dyDescent="0.25">
      <c r="B211" s="18" t="s">
        <v>573</v>
      </c>
      <c r="C211" s="44" t="s">
        <v>2745</v>
      </c>
      <c r="D211" s="20" t="s">
        <v>4231</v>
      </c>
      <c r="E211" s="67" t="s">
        <v>3</v>
      </c>
      <c r="F211" s="51" t="s">
        <v>3</v>
      </c>
      <c r="G211" s="37" t="s">
        <v>2715</v>
      </c>
      <c r="H211" s="68" t="s">
        <v>2715</v>
      </c>
      <c r="I211" s="62" t="s">
        <v>252</v>
      </c>
      <c r="J211" s="61" t="s">
        <v>250</v>
      </c>
      <c r="K211" s="4">
        <v>8258220</v>
      </c>
      <c r="L211" s="39">
        <v>109.07299999999999</v>
      </c>
      <c r="M211" s="4">
        <v>9816570</v>
      </c>
      <c r="N211" s="4">
        <v>9000000</v>
      </c>
      <c r="O211" s="4">
        <v>8449072</v>
      </c>
      <c r="P211" s="4">
        <v>0</v>
      </c>
      <c r="Q211" s="4">
        <v>86737</v>
      </c>
      <c r="R211" s="4">
        <v>0</v>
      </c>
      <c r="S211" s="4">
        <v>0</v>
      </c>
      <c r="T211" s="23">
        <v>2.5</v>
      </c>
      <c r="U211" s="23">
        <v>3.718</v>
      </c>
      <c r="V211" s="5" t="s">
        <v>248</v>
      </c>
      <c r="W211" s="4">
        <v>87500</v>
      </c>
      <c r="X211" s="4">
        <v>225000</v>
      </c>
      <c r="Y211" s="11">
        <v>43397</v>
      </c>
      <c r="Z211" s="11">
        <v>46245</v>
      </c>
      <c r="AA211" s="2"/>
      <c r="AB211" s="63" t="s">
        <v>3840</v>
      </c>
      <c r="AC211" s="5" t="s">
        <v>4198</v>
      </c>
      <c r="AD211" s="2"/>
      <c r="AE211" s="11">
        <v>46153</v>
      </c>
      <c r="AF211" s="23">
        <v>100</v>
      </c>
      <c r="AG211" s="9"/>
      <c r="AH211" s="5" t="s">
        <v>283</v>
      </c>
      <c r="AI211" s="5" t="s">
        <v>4231</v>
      </c>
      <c r="AJ211" s="5" t="s">
        <v>3</v>
      </c>
      <c r="AK211" s="16" t="s">
        <v>3</v>
      </c>
      <c r="AL211" s="65" t="s">
        <v>3842</v>
      </c>
      <c r="AM211" s="31" t="s">
        <v>898</v>
      </c>
    </row>
    <row r="212" spans="2:39" x14ac:dyDescent="0.25">
      <c r="B212" s="18" t="s">
        <v>1659</v>
      </c>
      <c r="C212" s="44" t="s">
        <v>2009</v>
      </c>
      <c r="D212" s="20" t="s">
        <v>2746</v>
      </c>
      <c r="E212" s="67" t="s">
        <v>3</v>
      </c>
      <c r="F212" s="51" t="s">
        <v>3</v>
      </c>
      <c r="G212" s="37" t="s">
        <v>2715</v>
      </c>
      <c r="H212" s="68" t="s">
        <v>3842</v>
      </c>
      <c r="I212" s="62" t="s">
        <v>1157</v>
      </c>
      <c r="J212" s="61" t="s">
        <v>250</v>
      </c>
      <c r="K212" s="4">
        <v>11863420</v>
      </c>
      <c r="L212" s="39">
        <v>107.91200000000001</v>
      </c>
      <c r="M212" s="4">
        <v>12949440</v>
      </c>
      <c r="N212" s="4">
        <v>12000000</v>
      </c>
      <c r="O212" s="4">
        <v>11918346</v>
      </c>
      <c r="P212" s="4">
        <v>0</v>
      </c>
      <c r="Q212" s="4">
        <v>20269</v>
      </c>
      <c r="R212" s="4">
        <v>0</v>
      </c>
      <c r="S212" s="4">
        <v>0</v>
      </c>
      <c r="T212" s="23">
        <v>3.25</v>
      </c>
      <c r="U212" s="23">
        <v>3.4470000000000001</v>
      </c>
      <c r="V212" s="5" t="s">
        <v>12</v>
      </c>
      <c r="W212" s="4">
        <v>122417</v>
      </c>
      <c r="X212" s="4">
        <v>390000</v>
      </c>
      <c r="Y212" s="11">
        <v>43663</v>
      </c>
      <c r="Z212" s="11">
        <v>45543</v>
      </c>
      <c r="AA212" s="2"/>
      <c r="AB212" s="63" t="s">
        <v>3840</v>
      </c>
      <c r="AC212" s="5" t="s">
        <v>4198</v>
      </c>
      <c r="AD212" s="2"/>
      <c r="AE212" s="11">
        <v>45481</v>
      </c>
      <c r="AF212" s="23">
        <v>100</v>
      </c>
      <c r="AG212" s="10">
        <v>45481</v>
      </c>
      <c r="AH212" s="5" t="s">
        <v>2010</v>
      </c>
      <c r="AI212" s="5" t="s">
        <v>2746</v>
      </c>
      <c r="AJ212" s="5" t="s">
        <v>3</v>
      </c>
      <c r="AK212" s="16" t="s">
        <v>3</v>
      </c>
      <c r="AL212" s="65" t="s">
        <v>3842</v>
      </c>
      <c r="AM212" s="31" t="s">
        <v>926</v>
      </c>
    </row>
    <row r="213" spans="2:39" x14ac:dyDescent="0.25">
      <c r="B213" s="18" t="s">
        <v>2747</v>
      </c>
      <c r="C213" s="44" t="s">
        <v>932</v>
      </c>
      <c r="D213" s="20" t="s">
        <v>2464</v>
      </c>
      <c r="E213" s="67" t="s">
        <v>3</v>
      </c>
      <c r="F213" s="51" t="s">
        <v>3</v>
      </c>
      <c r="G213" s="37" t="s">
        <v>3</v>
      </c>
      <c r="H213" s="68" t="s">
        <v>3842</v>
      </c>
      <c r="I213" s="62" t="s">
        <v>10</v>
      </c>
      <c r="J213" s="61" t="s">
        <v>2244</v>
      </c>
      <c r="K213" s="4">
        <v>5000000</v>
      </c>
      <c r="L213" s="39">
        <v>110</v>
      </c>
      <c r="M213" s="4">
        <v>5500000</v>
      </c>
      <c r="N213" s="4">
        <v>5000000</v>
      </c>
      <c r="O213" s="4">
        <v>5000000</v>
      </c>
      <c r="P213" s="4">
        <v>0</v>
      </c>
      <c r="Q213" s="4">
        <v>0</v>
      </c>
      <c r="R213" s="4">
        <v>0</v>
      </c>
      <c r="S213" s="4">
        <v>0</v>
      </c>
      <c r="T213" s="23">
        <v>4.8499999999999996</v>
      </c>
      <c r="U213" s="23">
        <v>4.8499999999999996</v>
      </c>
      <c r="V213" s="5" t="s">
        <v>248</v>
      </c>
      <c r="W213" s="4">
        <v>92958</v>
      </c>
      <c r="X213" s="4">
        <v>242500</v>
      </c>
      <c r="Y213" s="11">
        <v>43509</v>
      </c>
      <c r="Z213" s="11">
        <v>46066</v>
      </c>
      <c r="AA213" s="2"/>
      <c r="AB213" s="63" t="s">
        <v>2748</v>
      </c>
      <c r="AC213" s="5" t="s">
        <v>3</v>
      </c>
      <c r="AD213" s="2"/>
      <c r="AE213" s="6"/>
      <c r="AF213" s="23"/>
      <c r="AG213" s="6"/>
      <c r="AH213" s="5" t="s">
        <v>2011</v>
      </c>
      <c r="AI213" s="5" t="s">
        <v>2464</v>
      </c>
      <c r="AJ213" s="5" t="s">
        <v>3</v>
      </c>
      <c r="AK213" s="16" t="s">
        <v>3</v>
      </c>
      <c r="AL213" s="65" t="s">
        <v>3842</v>
      </c>
      <c r="AM213" s="31" t="s">
        <v>3100</v>
      </c>
    </row>
    <row r="214" spans="2:39" x14ac:dyDescent="0.25">
      <c r="B214" s="18" t="s">
        <v>284</v>
      </c>
      <c r="C214" s="44" t="s">
        <v>3570</v>
      </c>
      <c r="D214" s="20" t="s">
        <v>3336</v>
      </c>
      <c r="E214" s="67" t="s">
        <v>3</v>
      </c>
      <c r="F214" s="51" t="s">
        <v>3</v>
      </c>
      <c r="G214" s="37" t="s">
        <v>2715</v>
      </c>
      <c r="H214" s="68" t="s">
        <v>929</v>
      </c>
      <c r="I214" s="62" t="s">
        <v>3310</v>
      </c>
      <c r="J214" s="61" t="s">
        <v>250</v>
      </c>
      <c r="K214" s="4">
        <v>2036070</v>
      </c>
      <c r="L214" s="39">
        <v>104.794</v>
      </c>
      <c r="M214" s="4">
        <v>2095880</v>
      </c>
      <c r="N214" s="4">
        <v>2000000</v>
      </c>
      <c r="O214" s="4">
        <v>2017952</v>
      </c>
      <c r="P214" s="4">
        <v>0</v>
      </c>
      <c r="Q214" s="4">
        <v>-12652</v>
      </c>
      <c r="R214" s="4">
        <v>0</v>
      </c>
      <c r="S214" s="4">
        <v>0</v>
      </c>
      <c r="T214" s="23">
        <v>4.75</v>
      </c>
      <c r="U214" s="23">
        <v>4.0629999999999997</v>
      </c>
      <c r="V214" s="5" t="s">
        <v>248</v>
      </c>
      <c r="W214" s="4">
        <v>35889</v>
      </c>
      <c r="X214" s="4">
        <v>95000</v>
      </c>
      <c r="Y214" s="11">
        <v>43553</v>
      </c>
      <c r="Z214" s="11">
        <v>44788</v>
      </c>
      <c r="AA214" s="2"/>
      <c r="AB214" s="63" t="s">
        <v>3840</v>
      </c>
      <c r="AC214" s="5" t="s">
        <v>4198</v>
      </c>
      <c r="AD214" s="2"/>
      <c r="AE214" s="11">
        <v>44696</v>
      </c>
      <c r="AF214" s="23">
        <v>100</v>
      </c>
      <c r="AG214" s="10">
        <v>44696</v>
      </c>
      <c r="AH214" s="5" t="s">
        <v>3337</v>
      </c>
      <c r="AI214" s="5" t="s">
        <v>2465</v>
      </c>
      <c r="AJ214" s="5" t="s">
        <v>2465</v>
      </c>
      <c r="AK214" s="16" t="s">
        <v>3</v>
      </c>
      <c r="AL214" s="65" t="s">
        <v>2715</v>
      </c>
      <c r="AM214" s="31" t="s">
        <v>933</v>
      </c>
    </row>
    <row r="215" spans="2:39" x14ac:dyDescent="0.25">
      <c r="B215" s="18" t="s">
        <v>1372</v>
      </c>
      <c r="C215" s="44" t="s">
        <v>3338</v>
      </c>
      <c r="D215" s="20" t="s">
        <v>3868</v>
      </c>
      <c r="E215" s="67" t="s">
        <v>3</v>
      </c>
      <c r="F215" s="51" t="s">
        <v>3</v>
      </c>
      <c r="G215" s="37" t="s">
        <v>3</v>
      </c>
      <c r="H215" s="68" t="s">
        <v>2715</v>
      </c>
      <c r="I215" s="62" t="s">
        <v>252</v>
      </c>
      <c r="J215" s="61" t="s">
        <v>250</v>
      </c>
      <c r="K215" s="4">
        <v>4998450</v>
      </c>
      <c r="L215" s="39">
        <v>103.42400000000001</v>
      </c>
      <c r="M215" s="4">
        <v>5171200</v>
      </c>
      <c r="N215" s="4">
        <v>5000000</v>
      </c>
      <c r="O215" s="4">
        <v>4999643</v>
      </c>
      <c r="P215" s="4">
        <v>0</v>
      </c>
      <c r="Q215" s="4">
        <v>321</v>
      </c>
      <c r="R215" s="4">
        <v>0</v>
      </c>
      <c r="S215" s="4">
        <v>0</v>
      </c>
      <c r="T215" s="23">
        <v>4</v>
      </c>
      <c r="U215" s="23">
        <v>4.0069999999999997</v>
      </c>
      <c r="V215" s="5" t="s">
        <v>1982</v>
      </c>
      <c r="W215" s="4">
        <v>86667</v>
      </c>
      <c r="X215" s="4">
        <v>200000</v>
      </c>
      <c r="Y215" s="11">
        <v>42753</v>
      </c>
      <c r="Z215" s="11">
        <v>44586</v>
      </c>
      <c r="AA215" s="2"/>
      <c r="AB215" s="63" t="s">
        <v>3840</v>
      </c>
      <c r="AC215" s="5" t="s">
        <v>4198</v>
      </c>
      <c r="AD215" s="2"/>
      <c r="AE215" s="6"/>
      <c r="AF215" s="23"/>
      <c r="AG215" s="6"/>
      <c r="AH215" s="5" t="s">
        <v>3</v>
      </c>
      <c r="AI215" s="5" t="s">
        <v>3868</v>
      </c>
      <c r="AJ215" s="5" t="s">
        <v>3</v>
      </c>
      <c r="AK215" s="16" t="s">
        <v>3</v>
      </c>
      <c r="AL215" s="65" t="s">
        <v>2715</v>
      </c>
      <c r="AM215" s="31" t="s">
        <v>898</v>
      </c>
    </row>
    <row r="216" spans="2:39" x14ac:dyDescent="0.25">
      <c r="B216" s="18" t="s">
        <v>2749</v>
      </c>
      <c r="C216" s="44" t="s">
        <v>3339</v>
      </c>
      <c r="D216" s="20" t="s">
        <v>2245</v>
      </c>
      <c r="E216" s="67" t="s">
        <v>3</v>
      </c>
      <c r="F216" s="51" t="s">
        <v>3</v>
      </c>
      <c r="G216" s="37" t="s">
        <v>3</v>
      </c>
      <c r="H216" s="68" t="s">
        <v>2715</v>
      </c>
      <c r="I216" s="62" t="s">
        <v>252</v>
      </c>
      <c r="J216" s="61" t="s">
        <v>250</v>
      </c>
      <c r="K216" s="4">
        <v>996580</v>
      </c>
      <c r="L216" s="39">
        <v>103.437</v>
      </c>
      <c r="M216" s="4">
        <v>1034370</v>
      </c>
      <c r="N216" s="4">
        <v>1000000</v>
      </c>
      <c r="O216" s="4">
        <v>998882</v>
      </c>
      <c r="P216" s="4">
        <v>0</v>
      </c>
      <c r="Q216" s="4">
        <v>721</v>
      </c>
      <c r="R216" s="4">
        <v>0</v>
      </c>
      <c r="S216" s="4">
        <v>0</v>
      </c>
      <c r="T216" s="23">
        <v>3</v>
      </c>
      <c r="U216" s="23">
        <v>3.077</v>
      </c>
      <c r="V216" s="5" t="s">
        <v>1982</v>
      </c>
      <c r="W216" s="4">
        <v>14833</v>
      </c>
      <c r="X216" s="4">
        <v>30000</v>
      </c>
      <c r="Y216" s="11">
        <v>42996</v>
      </c>
      <c r="Z216" s="11">
        <v>44743</v>
      </c>
      <c r="AA216" s="2"/>
      <c r="AB216" s="63" t="s">
        <v>3840</v>
      </c>
      <c r="AC216" s="5" t="s">
        <v>4198</v>
      </c>
      <c r="AD216" s="2"/>
      <c r="AE216" s="9"/>
      <c r="AF216" s="23"/>
      <c r="AG216" s="6"/>
      <c r="AH216" s="5" t="s">
        <v>3</v>
      </c>
      <c r="AI216" s="5" t="s">
        <v>3868</v>
      </c>
      <c r="AJ216" s="5" t="s">
        <v>928</v>
      </c>
      <c r="AK216" s="16" t="s">
        <v>3</v>
      </c>
      <c r="AL216" s="65" t="s">
        <v>2715</v>
      </c>
      <c r="AM216" s="31" t="s">
        <v>898</v>
      </c>
    </row>
    <row r="217" spans="2:39" x14ac:dyDescent="0.25">
      <c r="B217" s="18" t="s">
        <v>3869</v>
      </c>
      <c r="C217" s="44" t="s">
        <v>2466</v>
      </c>
      <c r="D217" s="20" t="s">
        <v>2245</v>
      </c>
      <c r="E217" s="67" t="s">
        <v>3</v>
      </c>
      <c r="F217" s="51" t="s">
        <v>3</v>
      </c>
      <c r="G217" s="37" t="s">
        <v>3</v>
      </c>
      <c r="H217" s="68" t="s">
        <v>2715</v>
      </c>
      <c r="I217" s="62" t="s">
        <v>252</v>
      </c>
      <c r="J217" s="61" t="s">
        <v>250</v>
      </c>
      <c r="K217" s="4">
        <v>9972200</v>
      </c>
      <c r="L217" s="39">
        <v>105.688</v>
      </c>
      <c r="M217" s="4">
        <v>10568800</v>
      </c>
      <c r="N217" s="4">
        <v>10000000</v>
      </c>
      <c r="O217" s="4">
        <v>9980227</v>
      </c>
      <c r="P217" s="4">
        <v>0</v>
      </c>
      <c r="Q217" s="4">
        <v>5330</v>
      </c>
      <c r="R217" s="4">
        <v>0</v>
      </c>
      <c r="S217" s="4">
        <v>0</v>
      </c>
      <c r="T217" s="23">
        <v>2.75</v>
      </c>
      <c r="U217" s="23">
        <v>2.81</v>
      </c>
      <c r="V217" s="5" t="s">
        <v>3844</v>
      </c>
      <c r="W217" s="4">
        <v>4583</v>
      </c>
      <c r="X217" s="4">
        <v>275000</v>
      </c>
      <c r="Y217" s="11">
        <v>43637</v>
      </c>
      <c r="Z217" s="11">
        <v>45468</v>
      </c>
      <c r="AA217" s="2"/>
      <c r="AB217" s="63" t="s">
        <v>3840</v>
      </c>
      <c r="AC217" s="5" t="s">
        <v>4198</v>
      </c>
      <c r="AD217" s="2"/>
      <c r="AE217" s="6"/>
      <c r="AF217" s="23"/>
      <c r="AG217" s="6"/>
      <c r="AH217" s="5" t="s">
        <v>3</v>
      </c>
      <c r="AI217" s="5" t="s">
        <v>3868</v>
      </c>
      <c r="AJ217" s="5" t="s">
        <v>928</v>
      </c>
      <c r="AK217" s="16" t="s">
        <v>3</v>
      </c>
      <c r="AL217" s="65" t="s">
        <v>2715</v>
      </c>
      <c r="AM217" s="31" t="s">
        <v>898</v>
      </c>
    </row>
    <row r="218" spans="2:39" x14ac:dyDescent="0.25">
      <c r="B218" s="18" t="s">
        <v>574</v>
      </c>
      <c r="C218" s="44" t="s">
        <v>1182</v>
      </c>
      <c r="D218" s="20" t="s">
        <v>2245</v>
      </c>
      <c r="E218" s="67" t="s">
        <v>3</v>
      </c>
      <c r="F218" s="51" t="s">
        <v>3</v>
      </c>
      <c r="G218" s="37" t="s">
        <v>3</v>
      </c>
      <c r="H218" s="68" t="s">
        <v>2715</v>
      </c>
      <c r="I218" s="62" t="s">
        <v>252</v>
      </c>
      <c r="J218" s="61" t="s">
        <v>250</v>
      </c>
      <c r="K218" s="4">
        <v>2997630</v>
      </c>
      <c r="L218" s="39">
        <v>105.254</v>
      </c>
      <c r="M218" s="4">
        <v>3157620</v>
      </c>
      <c r="N218" s="4">
        <v>3000000</v>
      </c>
      <c r="O218" s="4">
        <v>2997856</v>
      </c>
      <c r="P218" s="4">
        <v>0</v>
      </c>
      <c r="Q218" s="4">
        <v>226</v>
      </c>
      <c r="R218" s="4">
        <v>0</v>
      </c>
      <c r="S218" s="4">
        <v>0</v>
      </c>
      <c r="T218" s="23">
        <v>2.5499999999999998</v>
      </c>
      <c r="U218" s="23">
        <v>2.5670000000000002</v>
      </c>
      <c r="V218" s="5" t="s">
        <v>3844</v>
      </c>
      <c r="W218" s="4">
        <v>425</v>
      </c>
      <c r="X218" s="4">
        <v>38250</v>
      </c>
      <c r="Y218" s="11">
        <v>44006</v>
      </c>
      <c r="Z218" s="11">
        <v>45837</v>
      </c>
      <c r="AA218" s="2"/>
      <c r="AB218" s="63" t="s">
        <v>3840</v>
      </c>
      <c r="AC218" s="5" t="s">
        <v>4198</v>
      </c>
      <c r="AD218" s="2"/>
      <c r="AE218" s="9"/>
      <c r="AF218" s="23"/>
      <c r="AG218" s="6"/>
      <c r="AH218" s="5" t="s">
        <v>3</v>
      </c>
      <c r="AI218" s="5" t="s">
        <v>3868</v>
      </c>
      <c r="AJ218" s="5" t="s">
        <v>928</v>
      </c>
      <c r="AK218" s="16" t="s">
        <v>3</v>
      </c>
      <c r="AL218" s="65" t="s">
        <v>2715</v>
      </c>
      <c r="AM218" s="31" t="s">
        <v>898</v>
      </c>
    </row>
    <row r="219" spans="2:39" x14ac:dyDescent="0.25">
      <c r="B219" s="18" t="s">
        <v>1660</v>
      </c>
      <c r="C219" s="44" t="s">
        <v>1183</v>
      </c>
      <c r="D219" s="20" t="s">
        <v>3101</v>
      </c>
      <c r="E219" s="67" t="s">
        <v>3</v>
      </c>
      <c r="F219" s="51" t="s">
        <v>3</v>
      </c>
      <c r="G219" s="37" t="s">
        <v>2715</v>
      </c>
      <c r="H219" s="68" t="s">
        <v>3842</v>
      </c>
      <c r="I219" s="62" t="s">
        <v>1157</v>
      </c>
      <c r="J219" s="61" t="s">
        <v>250</v>
      </c>
      <c r="K219" s="4">
        <v>8014440</v>
      </c>
      <c r="L219" s="39">
        <v>107.407</v>
      </c>
      <c r="M219" s="4">
        <v>8592560</v>
      </c>
      <c r="N219" s="4">
        <v>8000000</v>
      </c>
      <c r="O219" s="4">
        <v>8011664</v>
      </c>
      <c r="P219" s="4">
        <v>0</v>
      </c>
      <c r="Q219" s="4">
        <v>-2996</v>
      </c>
      <c r="R219" s="4">
        <v>0</v>
      </c>
      <c r="S219" s="4">
        <v>0</v>
      </c>
      <c r="T219" s="23">
        <v>3.5</v>
      </c>
      <c r="U219" s="23">
        <v>3.456</v>
      </c>
      <c r="V219" s="5" t="s">
        <v>3312</v>
      </c>
      <c r="W219" s="4">
        <v>35778</v>
      </c>
      <c r="X219" s="4">
        <v>280000</v>
      </c>
      <c r="Y219" s="11">
        <v>43669</v>
      </c>
      <c r="Z219" s="11">
        <v>45611</v>
      </c>
      <c r="AA219" s="2"/>
      <c r="AB219" s="63" t="s">
        <v>3840</v>
      </c>
      <c r="AC219" s="5" t="s">
        <v>4198</v>
      </c>
      <c r="AD219" s="2"/>
      <c r="AE219" s="10">
        <v>45550</v>
      </c>
      <c r="AF219" s="23">
        <v>100</v>
      </c>
      <c r="AG219" s="10">
        <v>45550</v>
      </c>
      <c r="AH219" s="5" t="s">
        <v>1661</v>
      </c>
      <c r="AI219" s="5" t="s">
        <v>3101</v>
      </c>
      <c r="AJ219" s="5" t="s">
        <v>3</v>
      </c>
      <c r="AK219" s="16" t="s">
        <v>3</v>
      </c>
      <c r="AL219" s="65" t="s">
        <v>3842</v>
      </c>
      <c r="AM219" s="31" t="s">
        <v>926</v>
      </c>
    </row>
    <row r="220" spans="2:39" x14ac:dyDescent="0.25">
      <c r="B220" s="18" t="s">
        <v>2750</v>
      </c>
      <c r="C220" s="44" t="s">
        <v>3340</v>
      </c>
      <c r="D220" s="20" t="s">
        <v>1662</v>
      </c>
      <c r="E220" s="67" t="s">
        <v>3</v>
      </c>
      <c r="F220" s="51" t="s">
        <v>3</v>
      </c>
      <c r="G220" s="37" t="s">
        <v>2715</v>
      </c>
      <c r="H220" s="68" t="s">
        <v>3842</v>
      </c>
      <c r="I220" s="62" t="s">
        <v>10</v>
      </c>
      <c r="J220" s="61" t="s">
        <v>250</v>
      </c>
      <c r="K220" s="4">
        <v>4993632</v>
      </c>
      <c r="L220" s="39">
        <v>107.652</v>
      </c>
      <c r="M220" s="4">
        <v>5382600</v>
      </c>
      <c r="N220" s="4">
        <v>5000000</v>
      </c>
      <c r="O220" s="4">
        <v>4996549</v>
      </c>
      <c r="P220" s="4">
        <v>0</v>
      </c>
      <c r="Q220" s="4">
        <v>1406</v>
      </c>
      <c r="R220" s="4">
        <v>0</v>
      </c>
      <c r="S220" s="4">
        <v>0</v>
      </c>
      <c r="T220" s="23">
        <v>3.9</v>
      </c>
      <c r="U220" s="23">
        <v>3.9319999999999999</v>
      </c>
      <c r="V220" s="5" t="s">
        <v>3843</v>
      </c>
      <c r="W220" s="4">
        <v>38458</v>
      </c>
      <c r="X220" s="4">
        <v>195000</v>
      </c>
      <c r="Y220" s="11">
        <v>43488</v>
      </c>
      <c r="Z220" s="11">
        <v>45036</v>
      </c>
      <c r="AA220" s="2"/>
      <c r="AB220" s="63" t="s">
        <v>3840</v>
      </c>
      <c r="AC220" s="5" t="s">
        <v>4198</v>
      </c>
      <c r="AD220" s="2"/>
      <c r="AE220" s="11">
        <v>45005</v>
      </c>
      <c r="AF220" s="23">
        <v>100</v>
      </c>
      <c r="AG220" s="9"/>
      <c r="AH220" s="5" t="s">
        <v>1663</v>
      </c>
      <c r="AI220" s="5" t="s">
        <v>1662</v>
      </c>
      <c r="AJ220" s="5" t="s">
        <v>3</v>
      </c>
      <c r="AK220" s="16" t="s">
        <v>3</v>
      </c>
      <c r="AL220" s="65" t="s">
        <v>3842</v>
      </c>
      <c r="AM220" s="31" t="s">
        <v>1176</v>
      </c>
    </row>
    <row r="221" spans="2:39" x14ac:dyDescent="0.25">
      <c r="B221" s="18" t="s">
        <v>3870</v>
      </c>
      <c r="C221" s="44" t="s">
        <v>40</v>
      </c>
      <c r="D221" s="20" t="s">
        <v>1184</v>
      </c>
      <c r="E221" s="67" t="s">
        <v>3</v>
      </c>
      <c r="F221" s="51" t="s">
        <v>3</v>
      </c>
      <c r="G221" s="37" t="s">
        <v>3842</v>
      </c>
      <c r="H221" s="68" t="s">
        <v>2715</v>
      </c>
      <c r="I221" s="62" t="s">
        <v>1358</v>
      </c>
      <c r="J221" s="61" t="s">
        <v>250</v>
      </c>
      <c r="K221" s="4">
        <v>2996880</v>
      </c>
      <c r="L221" s="39">
        <v>100.47499999999999</v>
      </c>
      <c r="M221" s="4">
        <v>3014250</v>
      </c>
      <c r="N221" s="4">
        <v>3000000</v>
      </c>
      <c r="O221" s="4">
        <v>2999766</v>
      </c>
      <c r="P221" s="4">
        <v>0</v>
      </c>
      <c r="Q221" s="4">
        <v>645</v>
      </c>
      <c r="R221" s="4">
        <v>0</v>
      </c>
      <c r="S221" s="4">
        <v>0</v>
      </c>
      <c r="T221" s="23">
        <v>2.0499999999999998</v>
      </c>
      <c r="U221" s="23">
        <v>2.0720000000000001</v>
      </c>
      <c r="V221" s="5" t="s">
        <v>3312</v>
      </c>
      <c r="W221" s="4">
        <v>8713</v>
      </c>
      <c r="X221" s="4">
        <v>61500</v>
      </c>
      <c r="Y221" s="11">
        <v>42495</v>
      </c>
      <c r="Z221" s="11">
        <v>44326</v>
      </c>
      <c r="AA221" s="2"/>
      <c r="AB221" s="63" t="s">
        <v>3840</v>
      </c>
      <c r="AC221" s="5" t="s">
        <v>4198</v>
      </c>
      <c r="AD221" s="2"/>
      <c r="AE221" s="10">
        <v>44295</v>
      </c>
      <c r="AF221" s="23">
        <v>100</v>
      </c>
      <c r="AG221" s="6"/>
      <c r="AH221" s="5" t="s">
        <v>3102</v>
      </c>
      <c r="AI221" s="5" t="s">
        <v>1184</v>
      </c>
      <c r="AJ221" s="5" t="s">
        <v>3</v>
      </c>
      <c r="AK221" s="16" t="s">
        <v>3</v>
      </c>
      <c r="AL221" s="65" t="s">
        <v>3842</v>
      </c>
      <c r="AM221" s="31" t="s">
        <v>559</v>
      </c>
    </row>
    <row r="222" spans="2:39" x14ac:dyDescent="0.25">
      <c r="B222" s="18" t="s">
        <v>575</v>
      </c>
      <c r="C222" s="44" t="s">
        <v>2751</v>
      </c>
      <c r="D222" s="20" t="s">
        <v>1184</v>
      </c>
      <c r="E222" s="67" t="s">
        <v>3</v>
      </c>
      <c r="F222" s="51" t="s">
        <v>3</v>
      </c>
      <c r="G222" s="37" t="s">
        <v>3842</v>
      </c>
      <c r="H222" s="68" t="s">
        <v>2715</v>
      </c>
      <c r="I222" s="62" t="s">
        <v>1358</v>
      </c>
      <c r="J222" s="61" t="s">
        <v>250</v>
      </c>
      <c r="K222" s="4">
        <v>4989900</v>
      </c>
      <c r="L222" s="39">
        <v>113.125</v>
      </c>
      <c r="M222" s="4">
        <v>5656250</v>
      </c>
      <c r="N222" s="4">
        <v>5000000</v>
      </c>
      <c r="O222" s="4">
        <v>4993312</v>
      </c>
      <c r="P222" s="4">
        <v>0</v>
      </c>
      <c r="Q222" s="4">
        <v>1365</v>
      </c>
      <c r="R222" s="4">
        <v>0</v>
      </c>
      <c r="S222" s="4">
        <v>0</v>
      </c>
      <c r="T222" s="23">
        <v>3.7</v>
      </c>
      <c r="U222" s="23">
        <v>3.7330000000000001</v>
      </c>
      <c r="V222" s="5" t="s">
        <v>3844</v>
      </c>
      <c r="W222" s="4">
        <v>13361</v>
      </c>
      <c r="X222" s="4">
        <v>185000</v>
      </c>
      <c r="Y222" s="11">
        <v>43251</v>
      </c>
      <c r="Z222" s="11">
        <v>45813</v>
      </c>
      <c r="AA222" s="2"/>
      <c r="AB222" s="63" t="s">
        <v>3840</v>
      </c>
      <c r="AC222" s="5" t="s">
        <v>4198</v>
      </c>
      <c r="AD222" s="2"/>
      <c r="AE222" s="10">
        <v>45782</v>
      </c>
      <c r="AF222" s="23">
        <v>100</v>
      </c>
      <c r="AG222" s="6"/>
      <c r="AH222" s="5" t="s">
        <v>3102</v>
      </c>
      <c r="AI222" s="5" t="s">
        <v>1184</v>
      </c>
      <c r="AJ222" s="5" t="s">
        <v>3</v>
      </c>
      <c r="AK222" s="16" t="s">
        <v>3</v>
      </c>
      <c r="AL222" s="65" t="s">
        <v>3842</v>
      </c>
      <c r="AM222" s="31" t="s">
        <v>559</v>
      </c>
    </row>
    <row r="223" spans="2:39" x14ac:dyDescent="0.25">
      <c r="B223" s="18" t="s">
        <v>1664</v>
      </c>
      <c r="C223" s="44" t="s">
        <v>4232</v>
      </c>
      <c r="D223" s="20" t="s">
        <v>1184</v>
      </c>
      <c r="E223" s="67" t="s">
        <v>3</v>
      </c>
      <c r="F223" s="51" t="s">
        <v>3</v>
      </c>
      <c r="G223" s="37" t="s">
        <v>3842</v>
      </c>
      <c r="H223" s="68" t="s">
        <v>2715</v>
      </c>
      <c r="I223" s="62" t="s">
        <v>1358</v>
      </c>
      <c r="J223" s="61" t="s">
        <v>250</v>
      </c>
      <c r="K223" s="4">
        <v>5182700</v>
      </c>
      <c r="L223" s="39">
        <v>109.874</v>
      </c>
      <c r="M223" s="4">
        <v>5493700</v>
      </c>
      <c r="N223" s="4">
        <v>5000000</v>
      </c>
      <c r="O223" s="4">
        <v>5115853</v>
      </c>
      <c r="P223" s="4">
        <v>0</v>
      </c>
      <c r="Q223" s="4">
        <v>-38447</v>
      </c>
      <c r="R223" s="4">
        <v>0</v>
      </c>
      <c r="S223" s="4">
        <v>0</v>
      </c>
      <c r="T223" s="23">
        <v>3.75</v>
      </c>
      <c r="U223" s="23">
        <v>2.8969999999999998</v>
      </c>
      <c r="V223" s="5" t="s">
        <v>3844</v>
      </c>
      <c r="W223" s="4">
        <v>13021</v>
      </c>
      <c r="X223" s="4">
        <v>187500</v>
      </c>
      <c r="Y223" s="11">
        <v>43551</v>
      </c>
      <c r="Z223" s="11">
        <v>45266</v>
      </c>
      <c r="AA223" s="2"/>
      <c r="AB223" s="63" t="s">
        <v>3840</v>
      </c>
      <c r="AC223" s="5" t="s">
        <v>4198</v>
      </c>
      <c r="AD223" s="2"/>
      <c r="AE223" s="11">
        <v>45236</v>
      </c>
      <c r="AF223" s="23">
        <v>100</v>
      </c>
      <c r="AG223" s="11">
        <v>45236</v>
      </c>
      <c r="AH223" s="5" t="s">
        <v>3102</v>
      </c>
      <c r="AI223" s="5" t="s">
        <v>1184</v>
      </c>
      <c r="AJ223" s="5" t="s">
        <v>3</v>
      </c>
      <c r="AK223" s="16" t="s">
        <v>3</v>
      </c>
      <c r="AL223" s="65" t="s">
        <v>3842</v>
      </c>
      <c r="AM223" s="31" t="s">
        <v>559</v>
      </c>
    </row>
    <row r="224" spans="2:39" x14ac:dyDescent="0.25">
      <c r="B224" s="18" t="s">
        <v>3871</v>
      </c>
      <c r="C224" s="44" t="s">
        <v>2467</v>
      </c>
      <c r="D224" s="20" t="s">
        <v>41</v>
      </c>
      <c r="E224" s="67" t="s">
        <v>3</v>
      </c>
      <c r="F224" s="51" t="s">
        <v>3</v>
      </c>
      <c r="G224" s="37" t="s">
        <v>3842</v>
      </c>
      <c r="H224" s="68" t="s">
        <v>3842</v>
      </c>
      <c r="I224" s="62" t="s">
        <v>10</v>
      </c>
      <c r="J224" s="61" t="s">
        <v>250</v>
      </c>
      <c r="K224" s="4">
        <v>6496944</v>
      </c>
      <c r="L224" s="39">
        <v>105.996</v>
      </c>
      <c r="M224" s="4">
        <v>6889740</v>
      </c>
      <c r="N224" s="4">
        <v>6500000</v>
      </c>
      <c r="O224" s="4">
        <v>6497730</v>
      </c>
      <c r="P224" s="4">
        <v>0</v>
      </c>
      <c r="Q224" s="4">
        <v>586</v>
      </c>
      <c r="R224" s="4">
        <v>0</v>
      </c>
      <c r="S224" s="4">
        <v>0</v>
      </c>
      <c r="T224" s="23">
        <v>2.5</v>
      </c>
      <c r="U224" s="23">
        <v>2.5099999999999998</v>
      </c>
      <c r="V224" s="5" t="s">
        <v>248</v>
      </c>
      <c r="W224" s="4">
        <v>55972</v>
      </c>
      <c r="X224" s="4">
        <v>162500</v>
      </c>
      <c r="Y224" s="11">
        <v>43697</v>
      </c>
      <c r="Z224" s="11">
        <v>45531</v>
      </c>
      <c r="AA224" s="2"/>
      <c r="AB224" s="63" t="s">
        <v>3840</v>
      </c>
      <c r="AC224" s="5" t="s">
        <v>4198</v>
      </c>
      <c r="AD224" s="2"/>
      <c r="AE224" s="11">
        <v>45500</v>
      </c>
      <c r="AF224" s="23">
        <v>100</v>
      </c>
      <c r="AG224" s="6"/>
      <c r="AH224" s="5" t="s">
        <v>1665</v>
      </c>
      <c r="AI224" s="5" t="s">
        <v>41</v>
      </c>
      <c r="AJ224" s="5" t="s">
        <v>3</v>
      </c>
      <c r="AK224" s="16" t="s">
        <v>3</v>
      </c>
      <c r="AL224" s="65" t="s">
        <v>3842</v>
      </c>
      <c r="AM224" s="31" t="s">
        <v>1176</v>
      </c>
    </row>
    <row r="225" spans="2:39" x14ac:dyDescent="0.25">
      <c r="B225" s="18" t="s">
        <v>576</v>
      </c>
      <c r="C225" s="44" t="s">
        <v>3341</v>
      </c>
      <c r="D225" s="20" t="s">
        <v>42</v>
      </c>
      <c r="E225" s="67" t="s">
        <v>3</v>
      </c>
      <c r="F225" s="51" t="s">
        <v>3</v>
      </c>
      <c r="G225" s="37" t="s">
        <v>2715</v>
      </c>
      <c r="H225" s="68" t="s">
        <v>2715</v>
      </c>
      <c r="I225" s="62" t="s">
        <v>252</v>
      </c>
      <c r="J225" s="61" t="s">
        <v>250</v>
      </c>
      <c r="K225" s="4">
        <v>1997940</v>
      </c>
      <c r="L225" s="39">
        <v>107.386</v>
      </c>
      <c r="M225" s="4">
        <v>2147720</v>
      </c>
      <c r="N225" s="4">
        <v>2000000</v>
      </c>
      <c r="O225" s="4">
        <v>1998416</v>
      </c>
      <c r="P225" s="4">
        <v>0</v>
      </c>
      <c r="Q225" s="4">
        <v>476</v>
      </c>
      <c r="R225" s="4">
        <v>0</v>
      </c>
      <c r="S225" s="4">
        <v>0</v>
      </c>
      <c r="T225" s="23">
        <v>3.8</v>
      </c>
      <c r="U225" s="23">
        <v>3.8370000000000002</v>
      </c>
      <c r="V225" s="5" t="s">
        <v>3843</v>
      </c>
      <c r="W225" s="4">
        <v>17944</v>
      </c>
      <c r="X225" s="4">
        <v>37367</v>
      </c>
      <c r="Y225" s="11">
        <v>43927</v>
      </c>
      <c r="Z225" s="11">
        <v>45022</v>
      </c>
      <c r="AA225" s="2"/>
      <c r="AB225" s="63" t="s">
        <v>3840</v>
      </c>
      <c r="AC225" s="5" t="s">
        <v>4198</v>
      </c>
      <c r="AD225" s="2"/>
      <c r="AE225" s="9"/>
      <c r="AF225" s="23"/>
      <c r="AG225" s="6"/>
      <c r="AH225" s="5" t="s">
        <v>285</v>
      </c>
      <c r="AI225" s="5" t="s">
        <v>3342</v>
      </c>
      <c r="AJ225" s="5" t="s">
        <v>928</v>
      </c>
      <c r="AK225" s="16" t="s">
        <v>3</v>
      </c>
      <c r="AL225" s="65" t="s">
        <v>3842</v>
      </c>
      <c r="AM225" s="31" t="s">
        <v>898</v>
      </c>
    </row>
    <row r="226" spans="2:39" x14ac:dyDescent="0.25">
      <c r="B226" s="18" t="s">
        <v>1666</v>
      </c>
      <c r="C226" s="44" t="s">
        <v>4233</v>
      </c>
      <c r="D226" s="20" t="s">
        <v>1667</v>
      </c>
      <c r="E226" s="67" t="s">
        <v>3</v>
      </c>
      <c r="F226" s="51" t="s">
        <v>3</v>
      </c>
      <c r="G226" s="37" t="s">
        <v>2715</v>
      </c>
      <c r="H226" s="68" t="s">
        <v>2715</v>
      </c>
      <c r="I226" s="62" t="s">
        <v>1358</v>
      </c>
      <c r="J226" s="61" t="s">
        <v>250</v>
      </c>
      <c r="K226" s="4">
        <v>10012650</v>
      </c>
      <c r="L226" s="39">
        <v>109.866</v>
      </c>
      <c r="M226" s="4">
        <v>10986600</v>
      </c>
      <c r="N226" s="4">
        <v>10000000</v>
      </c>
      <c r="O226" s="4">
        <v>10009188</v>
      </c>
      <c r="P226" s="4">
        <v>0</v>
      </c>
      <c r="Q226" s="4">
        <v>-2075</v>
      </c>
      <c r="R226" s="4">
        <v>0</v>
      </c>
      <c r="S226" s="4">
        <v>0</v>
      </c>
      <c r="T226" s="23">
        <v>3.3660000000000001</v>
      </c>
      <c r="U226" s="23">
        <v>3.3410000000000002</v>
      </c>
      <c r="V226" s="5" t="s">
        <v>1982</v>
      </c>
      <c r="W226" s="4">
        <v>147730</v>
      </c>
      <c r="X226" s="4">
        <v>336600</v>
      </c>
      <c r="Y226" s="11">
        <v>43551</v>
      </c>
      <c r="Z226" s="11">
        <v>46045</v>
      </c>
      <c r="AA226" s="2"/>
      <c r="AB226" s="63" t="s">
        <v>3840</v>
      </c>
      <c r="AC226" s="5" t="s">
        <v>4198</v>
      </c>
      <c r="AD226" s="2"/>
      <c r="AE226" s="11">
        <v>45680</v>
      </c>
      <c r="AF226" s="23">
        <v>100</v>
      </c>
      <c r="AG226" s="10">
        <v>45680</v>
      </c>
      <c r="AH226" s="5" t="s">
        <v>934</v>
      </c>
      <c r="AI226" s="5" t="s">
        <v>1667</v>
      </c>
      <c r="AJ226" s="5" t="s">
        <v>3</v>
      </c>
      <c r="AK226" s="16" t="s">
        <v>3</v>
      </c>
      <c r="AL226" s="65" t="s">
        <v>3842</v>
      </c>
      <c r="AM226" s="31" t="s">
        <v>559</v>
      </c>
    </row>
    <row r="227" spans="2:39" x14ac:dyDescent="0.25">
      <c r="B227" s="18" t="s">
        <v>2752</v>
      </c>
      <c r="C227" s="44" t="s">
        <v>3872</v>
      </c>
      <c r="D227" s="20" t="s">
        <v>1667</v>
      </c>
      <c r="E227" s="67" t="s">
        <v>3</v>
      </c>
      <c r="F227" s="51" t="s">
        <v>3</v>
      </c>
      <c r="G227" s="37" t="s">
        <v>2715</v>
      </c>
      <c r="H227" s="68" t="s">
        <v>2715</v>
      </c>
      <c r="I227" s="62" t="s">
        <v>252</v>
      </c>
      <c r="J227" s="61" t="s">
        <v>250</v>
      </c>
      <c r="K227" s="4">
        <v>5000000</v>
      </c>
      <c r="L227" s="39">
        <v>104.837</v>
      </c>
      <c r="M227" s="4">
        <v>5241850</v>
      </c>
      <c r="N227" s="4">
        <v>5000000</v>
      </c>
      <c r="O227" s="4">
        <v>5000000</v>
      </c>
      <c r="P227" s="4">
        <v>0</v>
      </c>
      <c r="Q227" s="4">
        <v>0</v>
      </c>
      <c r="R227" s="4">
        <v>0</v>
      </c>
      <c r="S227" s="4">
        <v>0</v>
      </c>
      <c r="T227" s="23">
        <v>2.0150000000000001</v>
      </c>
      <c r="U227" s="23">
        <v>2.0150000000000001</v>
      </c>
      <c r="V227" s="5" t="s">
        <v>248</v>
      </c>
      <c r="W227" s="4">
        <v>38621</v>
      </c>
      <c r="X227" s="4">
        <v>50375</v>
      </c>
      <c r="Y227" s="11">
        <v>43871</v>
      </c>
      <c r="Z227" s="11">
        <v>46066</v>
      </c>
      <c r="AA227" s="2"/>
      <c r="AB227" s="63" t="s">
        <v>3840</v>
      </c>
      <c r="AC227" s="5" t="s">
        <v>4198</v>
      </c>
      <c r="AD227" s="2"/>
      <c r="AE227" s="11">
        <v>45701</v>
      </c>
      <c r="AF227" s="23">
        <v>100</v>
      </c>
      <c r="AG227" s="6"/>
      <c r="AH227" s="5" t="s">
        <v>934</v>
      </c>
      <c r="AI227" s="5" t="s">
        <v>1667</v>
      </c>
      <c r="AJ227" s="5" t="s">
        <v>3</v>
      </c>
      <c r="AK227" s="16" t="s">
        <v>3</v>
      </c>
      <c r="AL227" s="65" t="s">
        <v>3842</v>
      </c>
      <c r="AM227" s="31" t="s">
        <v>898</v>
      </c>
    </row>
    <row r="228" spans="2:39" x14ac:dyDescent="0.25">
      <c r="B228" s="18" t="s">
        <v>3873</v>
      </c>
      <c r="C228" s="44" t="s">
        <v>935</v>
      </c>
      <c r="D228" s="20" t="s">
        <v>1667</v>
      </c>
      <c r="E228" s="67" t="s">
        <v>3</v>
      </c>
      <c r="F228" s="51" t="s">
        <v>3</v>
      </c>
      <c r="G228" s="37" t="s">
        <v>2715</v>
      </c>
      <c r="H228" s="68" t="s">
        <v>2715</v>
      </c>
      <c r="I228" s="62" t="s">
        <v>252</v>
      </c>
      <c r="J228" s="61" t="s">
        <v>250</v>
      </c>
      <c r="K228" s="4">
        <v>20000000</v>
      </c>
      <c r="L228" s="39">
        <v>101.569</v>
      </c>
      <c r="M228" s="4">
        <v>20313800</v>
      </c>
      <c r="N228" s="4">
        <v>20000000</v>
      </c>
      <c r="O228" s="4">
        <v>19999959</v>
      </c>
      <c r="P228" s="4">
        <v>0</v>
      </c>
      <c r="Q228" s="4">
        <v>-41</v>
      </c>
      <c r="R228" s="4">
        <v>0</v>
      </c>
      <c r="S228" s="4">
        <v>0</v>
      </c>
      <c r="T228" s="23">
        <v>1.1970000000000001</v>
      </c>
      <c r="U228" s="23">
        <v>1.196</v>
      </c>
      <c r="V228" s="5" t="s">
        <v>3843</v>
      </c>
      <c r="W228" s="4">
        <v>46550</v>
      </c>
      <c r="X228" s="4">
        <v>0</v>
      </c>
      <c r="Y228" s="11">
        <v>44120</v>
      </c>
      <c r="Z228" s="11">
        <v>46319</v>
      </c>
      <c r="AA228" s="2"/>
      <c r="AB228" s="63" t="s">
        <v>3840</v>
      </c>
      <c r="AC228" s="5" t="s">
        <v>4198</v>
      </c>
      <c r="AD228" s="2"/>
      <c r="AE228" s="11">
        <v>45954</v>
      </c>
      <c r="AF228" s="23">
        <v>100</v>
      </c>
      <c r="AG228" s="6"/>
      <c r="AH228" s="5" t="s">
        <v>934</v>
      </c>
      <c r="AI228" s="5" t="s">
        <v>1667</v>
      </c>
      <c r="AJ228" s="5" t="s">
        <v>3</v>
      </c>
      <c r="AK228" s="16" t="s">
        <v>3</v>
      </c>
      <c r="AL228" s="65" t="s">
        <v>3842</v>
      </c>
      <c r="AM228" s="31" t="s">
        <v>898</v>
      </c>
    </row>
    <row r="229" spans="2:39" x14ac:dyDescent="0.25">
      <c r="B229" s="18" t="s">
        <v>577</v>
      </c>
      <c r="C229" s="44" t="s">
        <v>3343</v>
      </c>
      <c r="D229" s="20" t="s">
        <v>2468</v>
      </c>
      <c r="E229" s="67" t="s">
        <v>3</v>
      </c>
      <c r="F229" s="51" t="s">
        <v>3</v>
      </c>
      <c r="G229" s="37" t="s">
        <v>3842</v>
      </c>
      <c r="H229" s="68" t="s">
        <v>2715</v>
      </c>
      <c r="I229" s="62" t="s">
        <v>252</v>
      </c>
      <c r="J229" s="61" t="s">
        <v>250</v>
      </c>
      <c r="K229" s="4">
        <v>4972500</v>
      </c>
      <c r="L229" s="39">
        <v>109.729</v>
      </c>
      <c r="M229" s="4">
        <v>5486450</v>
      </c>
      <c r="N229" s="4">
        <v>5000000</v>
      </c>
      <c r="O229" s="4">
        <v>4983079</v>
      </c>
      <c r="P229" s="4">
        <v>0</v>
      </c>
      <c r="Q229" s="4">
        <v>5070</v>
      </c>
      <c r="R229" s="4">
        <v>0</v>
      </c>
      <c r="S229" s="4">
        <v>0</v>
      </c>
      <c r="T229" s="23">
        <v>3.65</v>
      </c>
      <c r="U229" s="23">
        <v>3.7669999999999999</v>
      </c>
      <c r="V229" s="5" t="s">
        <v>248</v>
      </c>
      <c r="W229" s="4">
        <v>74521</v>
      </c>
      <c r="X229" s="4">
        <v>182500</v>
      </c>
      <c r="Y229" s="11">
        <v>43431</v>
      </c>
      <c r="Z229" s="11">
        <v>45326</v>
      </c>
      <c r="AA229" s="2"/>
      <c r="AB229" s="63" t="s">
        <v>3840</v>
      </c>
      <c r="AC229" s="5" t="s">
        <v>4198</v>
      </c>
      <c r="AD229" s="2"/>
      <c r="AE229" s="11">
        <v>45296</v>
      </c>
      <c r="AF229" s="23">
        <v>100</v>
      </c>
      <c r="AG229" s="6"/>
      <c r="AH229" s="5" t="s">
        <v>3571</v>
      </c>
      <c r="AI229" s="5" t="s">
        <v>2468</v>
      </c>
      <c r="AJ229" s="5" t="s">
        <v>3</v>
      </c>
      <c r="AK229" s="16" t="s">
        <v>3</v>
      </c>
      <c r="AL229" s="65" t="s">
        <v>3842</v>
      </c>
      <c r="AM229" s="31" t="s">
        <v>898</v>
      </c>
    </row>
    <row r="230" spans="2:39" x14ac:dyDescent="0.25">
      <c r="B230" s="18" t="s">
        <v>1668</v>
      </c>
      <c r="C230" s="44" t="s">
        <v>1669</v>
      </c>
      <c r="D230" s="20" t="s">
        <v>2246</v>
      </c>
      <c r="E230" s="67" t="s">
        <v>3</v>
      </c>
      <c r="F230" s="51" t="s">
        <v>3</v>
      </c>
      <c r="G230" s="37" t="s">
        <v>2715</v>
      </c>
      <c r="H230" s="68" t="s">
        <v>3842</v>
      </c>
      <c r="I230" s="62" t="s">
        <v>3310</v>
      </c>
      <c r="J230" s="61" t="s">
        <v>250</v>
      </c>
      <c r="K230" s="4">
        <v>15242850</v>
      </c>
      <c r="L230" s="39">
        <v>109.255</v>
      </c>
      <c r="M230" s="4">
        <v>16388250</v>
      </c>
      <c r="N230" s="4">
        <v>15000000</v>
      </c>
      <c r="O230" s="4">
        <v>15211520</v>
      </c>
      <c r="P230" s="4">
        <v>0</v>
      </c>
      <c r="Q230" s="4">
        <v>-31740</v>
      </c>
      <c r="R230" s="4">
        <v>0</v>
      </c>
      <c r="S230" s="4">
        <v>0</v>
      </c>
      <c r="T230" s="23">
        <v>2.6</v>
      </c>
      <c r="U230" s="23">
        <v>2.3170000000000002</v>
      </c>
      <c r="V230" s="5" t="s">
        <v>248</v>
      </c>
      <c r="W230" s="4">
        <v>147333</v>
      </c>
      <c r="X230" s="4">
        <v>260000</v>
      </c>
      <c r="Y230" s="11">
        <v>43873</v>
      </c>
      <c r="Z230" s="11">
        <v>46249</v>
      </c>
      <c r="AA230" s="2"/>
      <c r="AB230" s="63" t="s">
        <v>3840</v>
      </c>
      <c r="AC230" s="5" t="s">
        <v>4198</v>
      </c>
      <c r="AD230" s="2"/>
      <c r="AE230" s="11">
        <v>46157</v>
      </c>
      <c r="AF230" s="23">
        <v>100</v>
      </c>
      <c r="AG230" s="10">
        <v>46157</v>
      </c>
      <c r="AH230" s="5" t="s">
        <v>936</v>
      </c>
      <c r="AI230" s="5" t="s">
        <v>578</v>
      </c>
      <c r="AJ230" s="5" t="s">
        <v>3344</v>
      </c>
      <c r="AK230" s="16" t="s">
        <v>3</v>
      </c>
      <c r="AL230" s="65" t="s">
        <v>3842</v>
      </c>
      <c r="AM230" s="31" t="s">
        <v>1651</v>
      </c>
    </row>
    <row r="231" spans="2:39" x14ac:dyDescent="0.25">
      <c r="B231" s="18" t="s">
        <v>2753</v>
      </c>
      <c r="C231" s="44" t="s">
        <v>1670</v>
      </c>
      <c r="D231" s="20" t="s">
        <v>2247</v>
      </c>
      <c r="E231" s="67" t="s">
        <v>3</v>
      </c>
      <c r="F231" s="51" t="s">
        <v>3</v>
      </c>
      <c r="G231" s="37" t="s">
        <v>2715</v>
      </c>
      <c r="H231" s="68" t="s">
        <v>3842</v>
      </c>
      <c r="I231" s="62" t="s">
        <v>3310</v>
      </c>
      <c r="J231" s="61" t="s">
        <v>250</v>
      </c>
      <c r="K231" s="4">
        <v>5024650</v>
      </c>
      <c r="L231" s="39">
        <v>109.01900000000001</v>
      </c>
      <c r="M231" s="4">
        <v>5450950</v>
      </c>
      <c r="N231" s="4">
        <v>5000000</v>
      </c>
      <c r="O231" s="4">
        <v>5016342</v>
      </c>
      <c r="P231" s="4">
        <v>0</v>
      </c>
      <c r="Q231" s="4">
        <v>-5325</v>
      </c>
      <c r="R231" s="4">
        <v>0</v>
      </c>
      <c r="S231" s="4">
        <v>0</v>
      </c>
      <c r="T231" s="23">
        <v>3.875</v>
      </c>
      <c r="U231" s="23">
        <v>3.7530000000000001</v>
      </c>
      <c r="V231" s="5" t="s">
        <v>3844</v>
      </c>
      <c r="W231" s="4">
        <v>8611</v>
      </c>
      <c r="X231" s="4">
        <v>193750</v>
      </c>
      <c r="Y231" s="11">
        <v>43551</v>
      </c>
      <c r="Z231" s="11">
        <v>45275</v>
      </c>
      <c r="AA231" s="2"/>
      <c r="AB231" s="63" t="s">
        <v>3840</v>
      </c>
      <c r="AC231" s="5" t="s">
        <v>4198</v>
      </c>
      <c r="AD231" s="2"/>
      <c r="AE231" s="11">
        <v>45245</v>
      </c>
      <c r="AF231" s="23">
        <v>100</v>
      </c>
      <c r="AG231" s="10">
        <v>45245</v>
      </c>
      <c r="AH231" s="5" t="s">
        <v>3</v>
      </c>
      <c r="AI231" s="5" t="s">
        <v>2012</v>
      </c>
      <c r="AJ231" s="5" t="s">
        <v>928</v>
      </c>
      <c r="AK231" s="16" t="s">
        <v>3</v>
      </c>
      <c r="AL231" s="65" t="s">
        <v>3842</v>
      </c>
      <c r="AM231" s="31" t="s">
        <v>1651</v>
      </c>
    </row>
    <row r="232" spans="2:39" x14ac:dyDescent="0.25">
      <c r="B232" s="18" t="s">
        <v>3874</v>
      </c>
      <c r="C232" s="44" t="s">
        <v>2754</v>
      </c>
      <c r="D232" s="20" t="s">
        <v>2247</v>
      </c>
      <c r="E232" s="67" t="s">
        <v>3</v>
      </c>
      <c r="F232" s="51" t="s">
        <v>3</v>
      </c>
      <c r="G232" s="37" t="s">
        <v>2715</v>
      </c>
      <c r="H232" s="68" t="s">
        <v>3842</v>
      </c>
      <c r="I232" s="62" t="s">
        <v>3310</v>
      </c>
      <c r="J232" s="61" t="s">
        <v>250</v>
      </c>
      <c r="K232" s="4">
        <v>4990550</v>
      </c>
      <c r="L232" s="39">
        <v>114.45</v>
      </c>
      <c r="M232" s="4">
        <v>5722500</v>
      </c>
      <c r="N232" s="4">
        <v>5000000</v>
      </c>
      <c r="O232" s="4">
        <v>4993365</v>
      </c>
      <c r="P232" s="4">
        <v>0</v>
      </c>
      <c r="Q232" s="4">
        <v>1178</v>
      </c>
      <c r="R232" s="4">
        <v>0</v>
      </c>
      <c r="S232" s="4">
        <v>0</v>
      </c>
      <c r="T232" s="23">
        <v>4.25</v>
      </c>
      <c r="U232" s="23">
        <v>4.28</v>
      </c>
      <c r="V232" s="5" t="s">
        <v>3844</v>
      </c>
      <c r="W232" s="4">
        <v>9444</v>
      </c>
      <c r="X232" s="4">
        <v>212500</v>
      </c>
      <c r="Y232" s="11">
        <v>43269</v>
      </c>
      <c r="Z232" s="11">
        <v>46006</v>
      </c>
      <c r="AA232" s="2"/>
      <c r="AB232" s="63" t="s">
        <v>3840</v>
      </c>
      <c r="AC232" s="5" t="s">
        <v>4198</v>
      </c>
      <c r="AD232" s="2"/>
      <c r="AE232" s="10">
        <v>45945</v>
      </c>
      <c r="AF232" s="23">
        <v>100</v>
      </c>
      <c r="AG232" s="6"/>
      <c r="AH232" s="5" t="s">
        <v>3</v>
      </c>
      <c r="AI232" s="5" t="s">
        <v>2012</v>
      </c>
      <c r="AJ232" s="5" t="s">
        <v>928</v>
      </c>
      <c r="AK232" s="16" t="s">
        <v>3</v>
      </c>
      <c r="AL232" s="65" t="s">
        <v>3842</v>
      </c>
      <c r="AM232" s="31" t="s">
        <v>1651</v>
      </c>
    </row>
    <row r="233" spans="2:39" x14ac:dyDescent="0.25">
      <c r="B233" s="18" t="s">
        <v>937</v>
      </c>
      <c r="C233" s="44" t="s">
        <v>286</v>
      </c>
      <c r="D233" s="20" t="s">
        <v>287</v>
      </c>
      <c r="E233" s="67" t="s">
        <v>3</v>
      </c>
      <c r="F233" s="51" t="s">
        <v>3</v>
      </c>
      <c r="G233" s="37" t="s">
        <v>3842</v>
      </c>
      <c r="H233" s="68" t="s">
        <v>2715</v>
      </c>
      <c r="I233" s="62" t="s">
        <v>252</v>
      </c>
      <c r="J233" s="61" t="s">
        <v>250</v>
      </c>
      <c r="K233" s="4">
        <v>4996550</v>
      </c>
      <c r="L233" s="39">
        <v>102.23099999999999</v>
      </c>
      <c r="M233" s="4">
        <v>5111550</v>
      </c>
      <c r="N233" s="4">
        <v>5000000</v>
      </c>
      <c r="O233" s="4">
        <v>4999236</v>
      </c>
      <c r="P233" s="4">
        <v>0</v>
      </c>
      <c r="Q233" s="4">
        <v>716</v>
      </c>
      <c r="R233" s="4">
        <v>0</v>
      </c>
      <c r="S233" s="4">
        <v>0</v>
      </c>
      <c r="T233" s="23">
        <v>2.625</v>
      </c>
      <c r="U233" s="23">
        <v>2.64</v>
      </c>
      <c r="V233" s="5" t="s">
        <v>1982</v>
      </c>
      <c r="W233" s="4">
        <v>60521</v>
      </c>
      <c r="X233" s="4">
        <v>131250</v>
      </c>
      <c r="Y233" s="11">
        <v>42758</v>
      </c>
      <c r="Z233" s="11">
        <v>44576</v>
      </c>
      <c r="AA233" s="2"/>
      <c r="AB233" s="63" t="s">
        <v>3840</v>
      </c>
      <c r="AC233" s="5" t="s">
        <v>4198</v>
      </c>
      <c r="AD233" s="2"/>
      <c r="AE233" s="11">
        <v>44545</v>
      </c>
      <c r="AF233" s="23">
        <v>100</v>
      </c>
      <c r="AG233" s="6"/>
      <c r="AH233" s="5" t="s">
        <v>3572</v>
      </c>
      <c r="AI233" s="5" t="s">
        <v>287</v>
      </c>
      <c r="AJ233" s="5" t="s">
        <v>3</v>
      </c>
      <c r="AK233" s="16" t="s">
        <v>3</v>
      </c>
      <c r="AL233" s="65" t="s">
        <v>3842</v>
      </c>
      <c r="AM233" s="31" t="s">
        <v>898</v>
      </c>
    </row>
    <row r="234" spans="2:39" x14ac:dyDescent="0.25">
      <c r="B234" s="18" t="s">
        <v>2755</v>
      </c>
      <c r="C234" s="44" t="s">
        <v>1185</v>
      </c>
      <c r="D234" s="20" t="s">
        <v>579</v>
      </c>
      <c r="E234" s="67" t="s">
        <v>3</v>
      </c>
      <c r="F234" s="51" t="s">
        <v>3</v>
      </c>
      <c r="G234" s="37" t="s">
        <v>2715</v>
      </c>
      <c r="H234" s="68" t="s">
        <v>3842</v>
      </c>
      <c r="I234" s="62" t="s">
        <v>10</v>
      </c>
      <c r="J234" s="61" t="s">
        <v>250</v>
      </c>
      <c r="K234" s="4">
        <v>4764900</v>
      </c>
      <c r="L234" s="39">
        <v>105.718</v>
      </c>
      <c r="M234" s="4">
        <v>5285900</v>
      </c>
      <c r="N234" s="4">
        <v>5000000</v>
      </c>
      <c r="O234" s="4">
        <v>4867347</v>
      </c>
      <c r="P234" s="4">
        <v>0</v>
      </c>
      <c r="Q234" s="4">
        <v>50096</v>
      </c>
      <c r="R234" s="4">
        <v>0</v>
      </c>
      <c r="S234" s="4">
        <v>0</v>
      </c>
      <c r="T234" s="23">
        <v>3.25</v>
      </c>
      <c r="U234" s="23">
        <v>4.4020000000000001</v>
      </c>
      <c r="V234" s="5" t="s">
        <v>3844</v>
      </c>
      <c r="W234" s="4">
        <v>7222</v>
      </c>
      <c r="X234" s="4">
        <v>162500</v>
      </c>
      <c r="Y234" s="11">
        <v>43430</v>
      </c>
      <c r="Z234" s="11">
        <v>45092</v>
      </c>
      <c r="AA234" s="2"/>
      <c r="AB234" s="63" t="s">
        <v>3840</v>
      </c>
      <c r="AC234" s="5" t="s">
        <v>9</v>
      </c>
      <c r="AD234" s="2"/>
      <c r="AE234" s="10">
        <v>45002</v>
      </c>
      <c r="AF234" s="23">
        <v>100</v>
      </c>
      <c r="AG234" s="6"/>
      <c r="AH234" s="5" t="s">
        <v>1186</v>
      </c>
      <c r="AI234" s="5" t="s">
        <v>579</v>
      </c>
      <c r="AJ234" s="5" t="s">
        <v>3</v>
      </c>
      <c r="AK234" s="16" t="s">
        <v>3</v>
      </c>
      <c r="AL234" s="65" t="s">
        <v>3842</v>
      </c>
      <c r="AM234" s="31" t="s">
        <v>1176</v>
      </c>
    </row>
    <row r="235" spans="2:39" x14ac:dyDescent="0.25">
      <c r="B235" s="18" t="s">
        <v>3875</v>
      </c>
      <c r="C235" s="44" t="s">
        <v>2013</v>
      </c>
      <c r="D235" s="20" t="s">
        <v>288</v>
      </c>
      <c r="E235" s="67" t="s">
        <v>3</v>
      </c>
      <c r="F235" s="51" t="s">
        <v>3</v>
      </c>
      <c r="G235" s="37" t="s">
        <v>3</v>
      </c>
      <c r="H235" s="68" t="s">
        <v>3842</v>
      </c>
      <c r="I235" s="62" t="s">
        <v>1157</v>
      </c>
      <c r="J235" s="61" t="s">
        <v>250</v>
      </c>
      <c r="K235" s="4">
        <v>6133860</v>
      </c>
      <c r="L235" s="39">
        <v>102.262</v>
      </c>
      <c r="M235" s="4">
        <v>6135720</v>
      </c>
      <c r="N235" s="4">
        <v>6000000</v>
      </c>
      <c r="O235" s="4">
        <v>6017014</v>
      </c>
      <c r="P235" s="4">
        <v>0</v>
      </c>
      <c r="Q235" s="4">
        <v>-19463</v>
      </c>
      <c r="R235" s="4">
        <v>0</v>
      </c>
      <c r="S235" s="4">
        <v>0</v>
      </c>
      <c r="T235" s="23">
        <v>3.125</v>
      </c>
      <c r="U235" s="23">
        <v>2.786</v>
      </c>
      <c r="V235" s="5" t="s">
        <v>3312</v>
      </c>
      <c r="W235" s="4">
        <v>27604</v>
      </c>
      <c r="X235" s="4">
        <v>187500</v>
      </c>
      <c r="Y235" s="11">
        <v>41827</v>
      </c>
      <c r="Z235" s="11">
        <v>44508</v>
      </c>
      <c r="AA235" s="2"/>
      <c r="AB235" s="63" t="s">
        <v>3840</v>
      </c>
      <c r="AC235" s="5" t="s">
        <v>4198</v>
      </c>
      <c r="AD235" s="2"/>
      <c r="AE235" s="6"/>
      <c r="AF235" s="23"/>
      <c r="AG235" s="6"/>
      <c r="AH235" s="5" t="s">
        <v>2014</v>
      </c>
      <c r="AI235" s="5" t="s">
        <v>2756</v>
      </c>
      <c r="AJ235" s="5" t="s">
        <v>2757</v>
      </c>
      <c r="AK235" s="16" t="s">
        <v>3</v>
      </c>
      <c r="AL235" s="65" t="s">
        <v>3842</v>
      </c>
      <c r="AM235" s="31" t="s">
        <v>926</v>
      </c>
    </row>
    <row r="236" spans="2:39" x14ac:dyDescent="0.25">
      <c r="B236" s="18" t="s">
        <v>580</v>
      </c>
      <c r="C236" s="44" t="s">
        <v>3876</v>
      </c>
      <c r="D236" s="20" t="s">
        <v>2758</v>
      </c>
      <c r="E236" s="67" t="s">
        <v>3</v>
      </c>
      <c r="F236" s="51" t="s">
        <v>3</v>
      </c>
      <c r="G236" s="37" t="s">
        <v>2715</v>
      </c>
      <c r="H236" s="68" t="s">
        <v>3842</v>
      </c>
      <c r="I236" s="62" t="s">
        <v>1157</v>
      </c>
      <c r="J236" s="61" t="s">
        <v>250</v>
      </c>
      <c r="K236" s="4">
        <v>8996940</v>
      </c>
      <c r="L236" s="39">
        <v>101.015</v>
      </c>
      <c r="M236" s="4">
        <v>9091350</v>
      </c>
      <c r="N236" s="4">
        <v>9000000</v>
      </c>
      <c r="O236" s="4">
        <v>8996942</v>
      </c>
      <c r="P236" s="4">
        <v>0</v>
      </c>
      <c r="Q236" s="4">
        <v>2</v>
      </c>
      <c r="R236" s="4">
        <v>0</v>
      </c>
      <c r="S236" s="4">
        <v>0</v>
      </c>
      <c r="T236" s="23">
        <v>1.57</v>
      </c>
      <c r="U236" s="23">
        <v>1.577</v>
      </c>
      <c r="V236" s="5" t="s">
        <v>1982</v>
      </c>
      <c r="W236" s="4">
        <v>3533</v>
      </c>
      <c r="X236" s="4">
        <v>0</v>
      </c>
      <c r="Y236" s="11">
        <v>44180</v>
      </c>
      <c r="Z236" s="11">
        <v>46037</v>
      </c>
      <c r="AA236" s="2"/>
      <c r="AB236" s="63" t="s">
        <v>3840</v>
      </c>
      <c r="AC236" s="5" t="s">
        <v>4198</v>
      </c>
      <c r="AD236" s="2"/>
      <c r="AE236" s="10">
        <v>46006</v>
      </c>
      <c r="AF236" s="23">
        <v>100</v>
      </c>
      <c r="AG236" s="6"/>
      <c r="AH236" s="5" t="s">
        <v>3573</v>
      </c>
      <c r="AI236" s="5" t="s">
        <v>3345</v>
      </c>
      <c r="AJ236" s="5" t="s">
        <v>928</v>
      </c>
      <c r="AK236" s="16" t="s">
        <v>3</v>
      </c>
      <c r="AL236" s="65" t="s">
        <v>2715</v>
      </c>
      <c r="AM236" s="31" t="s">
        <v>926</v>
      </c>
    </row>
    <row r="237" spans="2:39" x14ac:dyDescent="0.25">
      <c r="B237" s="18" t="s">
        <v>1671</v>
      </c>
      <c r="C237" s="44" t="s">
        <v>2015</v>
      </c>
      <c r="D237" s="20" t="s">
        <v>43</v>
      </c>
      <c r="E237" s="67" t="s">
        <v>3</v>
      </c>
      <c r="F237" s="51" t="s">
        <v>3</v>
      </c>
      <c r="G237" s="37" t="s">
        <v>2715</v>
      </c>
      <c r="H237" s="68" t="s">
        <v>3842</v>
      </c>
      <c r="I237" s="62" t="s">
        <v>1157</v>
      </c>
      <c r="J237" s="61" t="s">
        <v>250</v>
      </c>
      <c r="K237" s="4">
        <v>2000000</v>
      </c>
      <c r="L237" s="39">
        <v>107.36499999999999</v>
      </c>
      <c r="M237" s="4">
        <v>2147300</v>
      </c>
      <c r="N237" s="4">
        <v>2000000</v>
      </c>
      <c r="O237" s="4">
        <v>2000000</v>
      </c>
      <c r="P237" s="4">
        <v>0</v>
      </c>
      <c r="Q237" s="4">
        <v>0</v>
      </c>
      <c r="R237" s="4">
        <v>0</v>
      </c>
      <c r="S237" s="4">
        <v>0</v>
      </c>
      <c r="T237" s="23">
        <v>4.875</v>
      </c>
      <c r="U237" s="23">
        <v>4.875</v>
      </c>
      <c r="V237" s="5" t="s">
        <v>1982</v>
      </c>
      <c r="W237" s="4">
        <v>44958</v>
      </c>
      <c r="X237" s="4">
        <v>108333</v>
      </c>
      <c r="Y237" s="11">
        <v>43602</v>
      </c>
      <c r="Z237" s="11">
        <v>46218</v>
      </c>
      <c r="AA237" s="2"/>
      <c r="AB237" s="63" t="s">
        <v>3840</v>
      </c>
      <c r="AC237" s="5" t="s">
        <v>4198</v>
      </c>
      <c r="AD237" s="2"/>
      <c r="AE237" s="10">
        <v>44757</v>
      </c>
      <c r="AF237" s="23">
        <v>102.438</v>
      </c>
      <c r="AG237" s="6"/>
      <c r="AH237" s="5" t="s">
        <v>3</v>
      </c>
      <c r="AI237" s="5" t="s">
        <v>2248</v>
      </c>
      <c r="AJ237" s="5" t="s">
        <v>928</v>
      </c>
      <c r="AK237" s="16" t="s">
        <v>3</v>
      </c>
      <c r="AL237" s="65" t="s">
        <v>2715</v>
      </c>
      <c r="AM237" s="31" t="s">
        <v>926</v>
      </c>
    </row>
    <row r="238" spans="2:39" x14ac:dyDescent="0.25">
      <c r="B238" s="18" t="s">
        <v>2759</v>
      </c>
      <c r="C238" s="44" t="s">
        <v>1672</v>
      </c>
      <c r="D238" s="20" t="s">
        <v>938</v>
      </c>
      <c r="E238" s="67" t="s">
        <v>3</v>
      </c>
      <c r="F238" s="51" t="s">
        <v>3</v>
      </c>
      <c r="G238" s="37" t="s">
        <v>3</v>
      </c>
      <c r="H238" s="68" t="s">
        <v>2715</v>
      </c>
      <c r="I238" s="62" t="s">
        <v>1358</v>
      </c>
      <c r="J238" s="61" t="s">
        <v>250</v>
      </c>
      <c r="K238" s="4">
        <v>9892089</v>
      </c>
      <c r="L238" s="39">
        <v>105.446</v>
      </c>
      <c r="M238" s="4">
        <v>10439154</v>
      </c>
      <c r="N238" s="4">
        <v>9900000</v>
      </c>
      <c r="O238" s="4">
        <v>9897891</v>
      </c>
      <c r="P238" s="4">
        <v>0</v>
      </c>
      <c r="Q238" s="4">
        <v>1179</v>
      </c>
      <c r="R238" s="4">
        <v>0</v>
      </c>
      <c r="S238" s="4">
        <v>0</v>
      </c>
      <c r="T238" s="23">
        <v>3.625</v>
      </c>
      <c r="U238" s="23">
        <v>3.6379999999999999</v>
      </c>
      <c r="V238" s="5" t="s">
        <v>12</v>
      </c>
      <c r="W238" s="4">
        <v>105669</v>
      </c>
      <c r="X238" s="4">
        <v>358875</v>
      </c>
      <c r="Y238" s="11">
        <v>42277</v>
      </c>
      <c r="Z238" s="11">
        <v>44819</v>
      </c>
      <c r="AA238" s="2"/>
      <c r="AB238" s="63" t="s">
        <v>3840</v>
      </c>
      <c r="AC238" s="5" t="s">
        <v>4198</v>
      </c>
      <c r="AD238" s="2"/>
      <c r="AE238" s="9"/>
      <c r="AF238" s="23"/>
      <c r="AG238" s="9"/>
      <c r="AH238" s="5" t="s">
        <v>2760</v>
      </c>
      <c r="AI238" s="5" t="s">
        <v>938</v>
      </c>
      <c r="AJ238" s="5" t="s">
        <v>3</v>
      </c>
      <c r="AK238" s="16" t="s">
        <v>3</v>
      </c>
      <c r="AL238" s="65" t="s">
        <v>3842</v>
      </c>
      <c r="AM238" s="31" t="s">
        <v>559</v>
      </c>
    </row>
    <row r="239" spans="2:39" x14ac:dyDescent="0.25">
      <c r="B239" s="18" t="s">
        <v>3877</v>
      </c>
      <c r="C239" s="44" t="s">
        <v>289</v>
      </c>
      <c r="D239" s="20" t="s">
        <v>938</v>
      </c>
      <c r="E239" s="67" t="s">
        <v>3</v>
      </c>
      <c r="F239" s="51" t="s">
        <v>3</v>
      </c>
      <c r="G239" s="37" t="s">
        <v>2715</v>
      </c>
      <c r="H239" s="68" t="s">
        <v>2715</v>
      </c>
      <c r="I239" s="62" t="s">
        <v>1358</v>
      </c>
      <c r="J239" s="61" t="s">
        <v>250</v>
      </c>
      <c r="K239" s="4">
        <v>4946600</v>
      </c>
      <c r="L239" s="39">
        <v>114.589</v>
      </c>
      <c r="M239" s="4">
        <v>5729450</v>
      </c>
      <c r="N239" s="4">
        <v>5000000</v>
      </c>
      <c r="O239" s="4">
        <v>4961727</v>
      </c>
      <c r="P239" s="4">
        <v>0</v>
      </c>
      <c r="Q239" s="4">
        <v>7209</v>
      </c>
      <c r="R239" s="4">
        <v>0</v>
      </c>
      <c r="S239" s="4">
        <v>0</v>
      </c>
      <c r="T239" s="23">
        <v>4.05</v>
      </c>
      <c r="U239" s="23">
        <v>4.2309999999999999</v>
      </c>
      <c r="V239" s="5" t="s">
        <v>12</v>
      </c>
      <c r="W239" s="4">
        <v>59625</v>
      </c>
      <c r="X239" s="4">
        <v>202500</v>
      </c>
      <c r="Y239" s="11">
        <v>43423</v>
      </c>
      <c r="Z239" s="11">
        <v>45915</v>
      </c>
      <c r="AA239" s="2"/>
      <c r="AB239" s="63" t="s">
        <v>3840</v>
      </c>
      <c r="AC239" s="5" t="s">
        <v>4198</v>
      </c>
      <c r="AD239" s="2"/>
      <c r="AE239" s="11">
        <v>45823</v>
      </c>
      <c r="AF239" s="23">
        <v>100</v>
      </c>
      <c r="AG239" s="6"/>
      <c r="AH239" s="5" t="s">
        <v>2760</v>
      </c>
      <c r="AI239" s="5" t="s">
        <v>938</v>
      </c>
      <c r="AJ239" s="5" t="s">
        <v>3</v>
      </c>
      <c r="AK239" s="16" t="s">
        <v>3</v>
      </c>
      <c r="AL239" s="65" t="s">
        <v>3842</v>
      </c>
      <c r="AM239" s="31" t="s">
        <v>559</v>
      </c>
    </row>
    <row r="240" spans="2:39" x14ac:dyDescent="0.25">
      <c r="B240" s="18" t="s">
        <v>581</v>
      </c>
      <c r="C240" s="44" t="s">
        <v>2761</v>
      </c>
      <c r="D240" s="20" t="s">
        <v>2249</v>
      </c>
      <c r="E240" s="67" t="s">
        <v>3</v>
      </c>
      <c r="F240" s="51" t="s">
        <v>3</v>
      </c>
      <c r="G240" s="37" t="s">
        <v>3</v>
      </c>
      <c r="H240" s="68" t="s">
        <v>2715</v>
      </c>
      <c r="I240" s="62" t="s">
        <v>2218</v>
      </c>
      <c r="J240" s="61" t="s">
        <v>250</v>
      </c>
      <c r="K240" s="4">
        <v>5135050</v>
      </c>
      <c r="L240" s="39">
        <v>104.36199999999999</v>
      </c>
      <c r="M240" s="4">
        <v>5218100</v>
      </c>
      <c r="N240" s="4">
        <v>5000000</v>
      </c>
      <c r="O240" s="4">
        <v>5061553</v>
      </c>
      <c r="P240" s="4">
        <v>0</v>
      </c>
      <c r="Q240" s="4">
        <v>-42184</v>
      </c>
      <c r="R240" s="4">
        <v>0</v>
      </c>
      <c r="S240" s="4">
        <v>0</v>
      </c>
      <c r="T240" s="23">
        <v>3.375</v>
      </c>
      <c r="U240" s="23">
        <v>2.4849999999999999</v>
      </c>
      <c r="V240" s="5" t="s">
        <v>3844</v>
      </c>
      <c r="W240" s="4">
        <v>14063</v>
      </c>
      <c r="X240" s="4">
        <v>168750</v>
      </c>
      <c r="Y240" s="11">
        <v>43551</v>
      </c>
      <c r="Z240" s="11">
        <v>44713</v>
      </c>
      <c r="AA240" s="2"/>
      <c r="AB240" s="63" t="s">
        <v>3840</v>
      </c>
      <c r="AC240" s="5" t="s">
        <v>4198</v>
      </c>
      <c r="AD240" s="2"/>
      <c r="AE240" s="9"/>
      <c r="AF240" s="23"/>
      <c r="AG240" s="6"/>
      <c r="AH240" s="5" t="s">
        <v>939</v>
      </c>
      <c r="AI240" s="5" t="s">
        <v>1673</v>
      </c>
      <c r="AJ240" s="5" t="s">
        <v>1673</v>
      </c>
      <c r="AK240" s="16" t="s">
        <v>3</v>
      </c>
      <c r="AL240" s="65" t="s">
        <v>3842</v>
      </c>
      <c r="AM240" s="31" t="s">
        <v>1351</v>
      </c>
    </row>
    <row r="241" spans="2:39" x14ac:dyDescent="0.25">
      <c r="B241" s="18" t="s">
        <v>1674</v>
      </c>
      <c r="C241" s="44" t="s">
        <v>4234</v>
      </c>
      <c r="D241" s="20" t="s">
        <v>940</v>
      </c>
      <c r="E241" s="67" t="s">
        <v>3</v>
      </c>
      <c r="F241" s="51" t="s">
        <v>3</v>
      </c>
      <c r="G241" s="37" t="s">
        <v>2715</v>
      </c>
      <c r="H241" s="68" t="s">
        <v>3842</v>
      </c>
      <c r="I241" s="62" t="s">
        <v>1157</v>
      </c>
      <c r="J241" s="61" t="s">
        <v>250</v>
      </c>
      <c r="K241" s="4">
        <v>8907570</v>
      </c>
      <c r="L241" s="39">
        <v>104.229</v>
      </c>
      <c r="M241" s="4">
        <v>9258662</v>
      </c>
      <c r="N241" s="4">
        <v>8883000</v>
      </c>
      <c r="O241" s="4">
        <v>8900691</v>
      </c>
      <c r="P241" s="4">
        <v>0</v>
      </c>
      <c r="Q241" s="4">
        <v>-9627</v>
      </c>
      <c r="R241" s="4">
        <v>0</v>
      </c>
      <c r="S241" s="4">
        <v>0</v>
      </c>
      <c r="T241" s="23">
        <v>3.375</v>
      </c>
      <c r="U241" s="23">
        <v>3.258</v>
      </c>
      <c r="V241" s="5" t="s">
        <v>248</v>
      </c>
      <c r="W241" s="4">
        <v>124917</v>
      </c>
      <c r="X241" s="4">
        <v>299801</v>
      </c>
      <c r="Y241" s="11">
        <v>43691</v>
      </c>
      <c r="Z241" s="11">
        <v>44958</v>
      </c>
      <c r="AA241" s="2"/>
      <c r="AB241" s="63" t="s">
        <v>3840</v>
      </c>
      <c r="AC241" s="5" t="s">
        <v>4198</v>
      </c>
      <c r="AD241" s="2"/>
      <c r="AE241" s="11">
        <v>44866</v>
      </c>
      <c r="AF241" s="23">
        <v>100</v>
      </c>
      <c r="AG241" s="11">
        <v>44866</v>
      </c>
      <c r="AH241" s="5" t="s">
        <v>3</v>
      </c>
      <c r="AI241" s="5" t="s">
        <v>940</v>
      </c>
      <c r="AJ241" s="5" t="s">
        <v>3</v>
      </c>
      <c r="AK241" s="16" t="s">
        <v>3</v>
      </c>
      <c r="AL241" s="65" t="s">
        <v>3842</v>
      </c>
      <c r="AM241" s="31" t="s">
        <v>926</v>
      </c>
    </row>
    <row r="242" spans="2:39" x14ac:dyDescent="0.25">
      <c r="B242" s="18" t="s">
        <v>3103</v>
      </c>
      <c r="C242" s="44" t="s">
        <v>4235</v>
      </c>
      <c r="D242" s="20" t="s">
        <v>940</v>
      </c>
      <c r="E242" s="67" t="s">
        <v>3</v>
      </c>
      <c r="F242" s="51" t="s">
        <v>3</v>
      </c>
      <c r="G242" s="37" t="s">
        <v>2715</v>
      </c>
      <c r="H242" s="68" t="s">
        <v>3842</v>
      </c>
      <c r="I242" s="62" t="s">
        <v>1157</v>
      </c>
      <c r="J242" s="61" t="s">
        <v>250</v>
      </c>
      <c r="K242" s="4">
        <v>3202230</v>
      </c>
      <c r="L242" s="39">
        <v>111.786</v>
      </c>
      <c r="M242" s="4">
        <v>3353580</v>
      </c>
      <c r="N242" s="4">
        <v>3000000</v>
      </c>
      <c r="O242" s="4">
        <v>3114435</v>
      </c>
      <c r="P242" s="4">
        <v>0</v>
      </c>
      <c r="Q242" s="4">
        <v>-28263</v>
      </c>
      <c r="R242" s="4">
        <v>0</v>
      </c>
      <c r="S242" s="4">
        <v>0</v>
      </c>
      <c r="T242" s="23">
        <v>4.95</v>
      </c>
      <c r="U242" s="23">
        <v>3.8340000000000001</v>
      </c>
      <c r="V242" s="5" t="s">
        <v>3844</v>
      </c>
      <c r="W242" s="4">
        <v>6600</v>
      </c>
      <c r="X242" s="4">
        <v>148500</v>
      </c>
      <c r="Y242" s="11">
        <v>43006</v>
      </c>
      <c r="Z242" s="11">
        <v>45641</v>
      </c>
      <c r="AA242" s="2"/>
      <c r="AB242" s="63" t="s">
        <v>3840</v>
      </c>
      <c r="AC242" s="5" t="s">
        <v>4198</v>
      </c>
      <c r="AD242" s="2"/>
      <c r="AE242" s="11">
        <v>45550</v>
      </c>
      <c r="AF242" s="23">
        <v>100</v>
      </c>
      <c r="AG242" s="10">
        <v>45550</v>
      </c>
      <c r="AH242" s="5" t="s">
        <v>3</v>
      </c>
      <c r="AI242" s="5" t="s">
        <v>940</v>
      </c>
      <c r="AJ242" s="5" t="s">
        <v>3</v>
      </c>
      <c r="AK242" s="16" t="s">
        <v>3</v>
      </c>
      <c r="AL242" s="65" t="s">
        <v>3842</v>
      </c>
      <c r="AM242" s="31" t="s">
        <v>926</v>
      </c>
    </row>
    <row r="243" spans="2:39" x14ac:dyDescent="0.25">
      <c r="B243" s="18" t="s">
        <v>4236</v>
      </c>
      <c r="C243" s="44" t="s">
        <v>2762</v>
      </c>
      <c r="D243" s="20" t="s">
        <v>290</v>
      </c>
      <c r="E243" s="67" t="s">
        <v>3</v>
      </c>
      <c r="F243" s="51" t="s">
        <v>3</v>
      </c>
      <c r="G243" s="37" t="s">
        <v>2715</v>
      </c>
      <c r="H243" s="68" t="s">
        <v>3842</v>
      </c>
      <c r="I243" s="62" t="s">
        <v>1157</v>
      </c>
      <c r="J243" s="61" t="s">
        <v>250</v>
      </c>
      <c r="K243" s="4">
        <v>9972400</v>
      </c>
      <c r="L243" s="39">
        <v>113.485</v>
      </c>
      <c r="M243" s="4">
        <v>11348500</v>
      </c>
      <c r="N243" s="4">
        <v>10000000</v>
      </c>
      <c r="O243" s="4">
        <v>9979035</v>
      </c>
      <c r="P243" s="4">
        <v>0</v>
      </c>
      <c r="Q243" s="4">
        <v>3609</v>
      </c>
      <c r="R243" s="4">
        <v>0</v>
      </c>
      <c r="S243" s="4">
        <v>0</v>
      </c>
      <c r="T243" s="23">
        <v>3.75</v>
      </c>
      <c r="U243" s="23">
        <v>3.7949999999999999</v>
      </c>
      <c r="V243" s="5" t="s">
        <v>12</v>
      </c>
      <c r="W243" s="4">
        <v>125000</v>
      </c>
      <c r="X243" s="4">
        <v>375000</v>
      </c>
      <c r="Y243" s="11">
        <v>43517</v>
      </c>
      <c r="Z243" s="11">
        <v>46082</v>
      </c>
      <c r="AA243" s="2"/>
      <c r="AB243" s="63" t="s">
        <v>3840</v>
      </c>
      <c r="AC243" s="5" t="s">
        <v>4198</v>
      </c>
      <c r="AD243" s="2"/>
      <c r="AE243" s="11">
        <v>46023</v>
      </c>
      <c r="AF243" s="23">
        <v>100</v>
      </c>
      <c r="AG243" s="9"/>
      <c r="AH243" s="5" t="s">
        <v>3346</v>
      </c>
      <c r="AI243" s="5" t="s">
        <v>44</v>
      </c>
      <c r="AJ243" s="5" t="s">
        <v>3104</v>
      </c>
      <c r="AK243" s="16" t="s">
        <v>3</v>
      </c>
      <c r="AL243" s="65" t="s">
        <v>3842</v>
      </c>
      <c r="AM243" s="31" t="s">
        <v>926</v>
      </c>
    </row>
    <row r="244" spans="2:39" x14ac:dyDescent="0.25">
      <c r="B244" s="18" t="s">
        <v>1675</v>
      </c>
      <c r="C244" s="44" t="s">
        <v>1676</v>
      </c>
      <c r="D244" s="20" t="s">
        <v>290</v>
      </c>
      <c r="E244" s="67" t="s">
        <v>3</v>
      </c>
      <c r="F244" s="51" t="s">
        <v>3</v>
      </c>
      <c r="G244" s="37" t="s">
        <v>2715</v>
      </c>
      <c r="H244" s="68" t="s">
        <v>3842</v>
      </c>
      <c r="I244" s="62" t="s">
        <v>1157</v>
      </c>
      <c r="J244" s="61" t="s">
        <v>250</v>
      </c>
      <c r="K244" s="4">
        <v>4997600</v>
      </c>
      <c r="L244" s="39">
        <v>104.68</v>
      </c>
      <c r="M244" s="4">
        <v>5234000</v>
      </c>
      <c r="N244" s="4">
        <v>5000000</v>
      </c>
      <c r="O244" s="4">
        <v>4997898</v>
      </c>
      <c r="P244" s="4">
        <v>0</v>
      </c>
      <c r="Q244" s="4">
        <v>298</v>
      </c>
      <c r="R244" s="4">
        <v>0</v>
      </c>
      <c r="S244" s="4">
        <v>0</v>
      </c>
      <c r="T244" s="23">
        <v>1.9</v>
      </c>
      <c r="U244" s="23">
        <v>1.91</v>
      </c>
      <c r="V244" s="5" t="s">
        <v>3844</v>
      </c>
      <c r="W244" s="4">
        <v>7917</v>
      </c>
      <c r="X244" s="4">
        <v>50931</v>
      </c>
      <c r="Y244" s="11">
        <v>43965</v>
      </c>
      <c r="Z244" s="11">
        <v>45809</v>
      </c>
      <c r="AA244" s="2"/>
      <c r="AB244" s="63" t="s">
        <v>3840</v>
      </c>
      <c r="AC244" s="5" t="s">
        <v>4198</v>
      </c>
      <c r="AD244" s="2"/>
      <c r="AE244" s="10">
        <v>45778</v>
      </c>
      <c r="AF244" s="23">
        <v>100</v>
      </c>
      <c r="AG244" s="6"/>
      <c r="AH244" s="5" t="s">
        <v>3346</v>
      </c>
      <c r="AI244" s="5" t="s">
        <v>44</v>
      </c>
      <c r="AJ244" s="5" t="s">
        <v>3104</v>
      </c>
      <c r="AK244" s="16" t="s">
        <v>3</v>
      </c>
      <c r="AL244" s="65" t="s">
        <v>3842</v>
      </c>
      <c r="AM244" s="31" t="s">
        <v>926</v>
      </c>
    </row>
    <row r="245" spans="2:39" x14ac:dyDescent="0.25">
      <c r="B245" s="18" t="s">
        <v>2763</v>
      </c>
      <c r="C245" s="44" t="s">
        <v>1677</v>
      </c>
      <c r="D245" s="20" t="s">
        <v>291</v>
      </c>
      <c r="E245" s="67" t="s">
        <v>3</v>
      </c>
      <c r="F245" s="51" t="s">
        <v>3</v>
      </c>
      <c r="G245" s="37" t="s">
        <v>2715</v>
      </c>
      <c r="H245" s="68" t="s">
        <v>2715</v>
      </c>
      <c r="I245" s="62" t="s">
        <v>252</v>
      </c>
      <c r="J245" s="61" t="s">
        <v>250</v>
      </c>
      <c r="K245" s="4">
        <v>5000000</v>
      </c>
      <c r="L245" s="39">
        <v>113.408</v>
      </c>
      <c r="M245" s="4">
        <v>5670400</v>
      </c>
      <c r="N245" s="4">
        <v>5000000</v>
      </c>
      <c r="O245" s="4">
        <v>5000000</v>
      </c>
      <c r="P245" s="4">
        <v>0</v>
      </c>
      <c r="Q245" s="4">
        <v>0</v>
      </c>
      <c r="R245" s="4">
        <v>0</v>
      </c>
      <c r="S245" s="4">
        <v>0</v>
      </c>
      <c r="T245" s="23">
        <v>3.7959999999999998</v>
      </c>
      <c r="U245" s="23">
        <v>3.7959999999999998</v>
      </c>
      <c r="V245" s="5" t="s">
        <v>12</v>
      </c>
      <c r="W245" s="4">
        <v>52722</v>
      </c>
      <c r="X245" s="4">
        <v>189800</v>
      </c>
      <c r="Y245" s="11">
        <v>43361</v>
      </c>
      <c r="Z245" s="11">
        <v>45921</v>
      </c>
      <c r="AA245" s="2"/>
      <c r="AB245" s="63" t="s">
        <v>3840</v>
      </c>
      <c r="AC245" s="5" t="s">
        <v>4198</v>
      </c>
      <c r="AD245" s="2"/>
      <c r="AE245" s="10">
        <v>45859</v>
      </c>
      <c r="AF245" s="23">
        <v>100</v>
      </c>
      <c r="AG245" s="6"/>
      <c r="AH245" s="5" t="s">
        <v>2250</v>
      </c>
      <c r="AI245" s="5" t="s">
        <v>291</v>
      </c>
      <c r="AJ245" s="5" t="s">
        <v>3</v>
      </c>
      <c r="AK245" s="16" t="s">
        <v>3</v>
      </c>
      <c r="AL245" s="65" t="s">
        <v>3842</v>
      </c>
      <c r="AM245" s="31" t="s">
        <v>898</v>
      </c>
    </row>
    <row r="246" spans="2:39" x14ac:dyDescent="0.25">
      <c r="B246" s="18" t="s">
        <v>3878</v>
      </c>
      <c r="C246" s="44" t="s">
        <v>1678</v>
      </c>
      <c r="D246" s="20" t="s">
        <v>291</v>
      </c>
      <c r="E246" s="67" t="s">
        <v>3</v>
      </c>
      <c r="F246" s="51" t="s">
        <v>3</v>
      </c>
      <c r="G246" s="37" t="s">
        <v>2715</v>
      </c>
      <c r="H246" s="68" t="s">
        <v>2715</v>
      </c>
      <c r="I246" s="62" t="s">
        <v>252</v>
      </c>
      <c r="J246" s="61" t="s">
        <v>250</v>
      </c>
      <c r="K246" s="4">
        <v>4000000</v>
      </c>
      <c r="L246" s="39">
        <v>109.339</v>
      </c>
      <c r="M246" s="4">
        <v>4373560</v>
      </c>
      <c r="N246" s="4">
        <v>4000000</v>
      </c>
      <c r="O246" s="4">
        <v>4000000</v>
      </c>
      <c r="P246" s="4">
        <v>0</v>
      </c>
      <c r="Q246" s="4">
        <v>0</v>
      </c>
      <c r="R246" s="4">
        <v>0</v>
      </c>
      <c r="S246" s="4">
        <v>0</v>
      </c>
      <c r="T246" s="23">
        <v>3.79</v>
      </c>
      <c r="U246" s="23">
        <v>3.7869999999999999</v>
      </c>
      <c r="V246" s="5" t="s">
        <v>248</v>
      </c>
      <c r="W246" s="4">
        <v>61061</v>
      </c>
      <c r="X246" s="4">
        <v>151600</v>
      </c>
      <c r="Y246" s="11">
        <v>43405</v>
      </c>
      <c r="Z246" s="11">
        <v>45328</v>
      </c>
      <c r="AA246" s="2"/>
      <c r="AB246" s="63" t="s">
        <v>3840</v>
      </c>
      <c r="AC246" s="5" t="s">
        <v>4198</v>
      </c>
      <c r="AD246" s="2"/>
      <c r="AE246" s="10">
        <v>45297</v>
      </c>
      <c r="AF246" s="23">
        <v>100</v>
      </c>
      <c r="AG246" s="6"/>
      <c r="AH246" s="5" t="s">
        <v>2250</v>
      </c>
      <c r="AI246" s="5" t="s">
        <v>291</v>
      </c>
      <c r="AJ246" s="5" t="s">
        <v>3</v>
      </c>
      <c r="AK246" s="16" t="s">
        <v>3</v>
      </c>
      <c r="AL246" s="65" t="s">
        <v>3842</v>
      </c>
      <c r="AM246" s="31" t="s">
        <v>898</v>
      </c>
    </row>
    <row r="247" spans="2:39" x14ac:dyDescent="0.25">
      <c r="B247" s="18" t="s">
        <v>582</v>
      </c>
      <c r="C247" s="44" t="s">
        <v>3879</v>
      </c>
      <c r="D247" s="20" t="s">
        <v>583</v>
      </c>
      <c r="E247" s="67" t="s">
        <v>3</v>
      </c>
      <c r="F247" s="51" t="s">
        <v>3</v>
      </c>
      <c r="G247" s="37" t="s">
        <v>2715</v>
      </c>
      <c r="H247" s="68" t="s">
        <v>2715</v>
      </c>
      <c r="I247" s="62" t="s">
        <v>252</v>
      </c>
      <c r="J247" s="61" t="s">
        <v>250</v>
      </c>
      <c r="K247" s="4">
        <v>6983955</v>
      </c>
      <c r="L247" s="39">
        <v>112.51900000000001</v>
      </c>
      <c r="M247" s="4">
        <v>7876330</v>
      </c>
      <c r="N247" s="4">
        <v>7000000</v>
      </c>
      <c r="O247" s="4">
        <v>6985210</v>
      </c>
      <c r="P247" s="4">
        <v>0</v>
      </c>
      <c r="Q247" s="4">
        <v>1254</v>
      </c>
      <c r="R247" s="4">
        <v>0</v>
      </c>
      <c r="S247" s="4">
        <v>0</v>
      </c>
      <c r="T247" s="23">
        <v>3.2</v>
      </c>
      <c r="U247" s="23">
        <v>3.2429999999999999</v>
      </c>
      <c r="V247" s="5" t="s">
        <v>3844</v>
      </c>
      <c r="W247" s="4">
        <v>9956</v>
      </c>
      <c r="X247" s="4">
        <v>112000</v>
      </c>
      <c r="Y247" s="11">
        <v>44029</v>
      </c>
      <c r="Z247" s="11">
        <v>46188</v>
      </c>
      <c r="AA247" s="2"/>
      <c r="AB247" s="63" t="s">
        <v>3840</v>
      </c>
      <c r="AC247" s="5" t="s">
        <v>4198</v>
      </c>
      <c r="AD247" s="2"/>
      <c r="AE247" s="11">
        <v>46127</v>
      </c>
      <c r="AF247" s="23">
        <v>100</v>
      </c>
      <c r="AG247" s="9"/>
      <c r="AH247" s="5" t="s">
        <v>2016</v>
      </c>
      <c r="AI247" s="5" t="s">
        <v>583</v>
      </c>
      <c r="AJ247" s="5" t="s">
        <v>3</v>
      </c>
      <c r="AK247" s="16" t="s">
        <v>3</v>
      </c>
      <c r="AL247" s="65" t="s">
        <v>3842</v>
      </c>
      <c r="AM247" s="31" t="s">
        <v>898</v>
      </c>
    </row>
    <row r="248" spans="2:39" x14ac:dyDescent="0.25">
      <c r="B248" s="18" t="s">
        <v>1679</v>
      </c>
      <c r="C248" s="44" t="s">
        <v>1680</v>
      </c>
      <c r="D248" s="20" t="s">
        <v>583</v>
      </c>
      <c r="E248" s="67" t="s">
        <v>3</v>
      </c>
      <c r="F248" s="51" t="s">
        <v>3</v>
      </c>
      <c r="G248" s="37" t="s">
        <v>2715</v>
      </c>
      <c r="H248" s="68" t="s">
        <v>2715</v>
      </c>
      <c r="I248" s="62" t="s">
        <v>252</v>
      </c>
      <c r="J248" s="61" t="s">
        <v>250</v>
      </c>
      <c r="K248" s="4">
        <v>6910006</v>
      </c>
      <c r="L248" s="39">
        <v>105.211</v>
      </c>
      <c r="M248" s="4">
        <v>7259559</v>
      </c>
      <c r="N248" s="4">
        <v>6900000</v>
      </c>
      <c r="O248" s="4">
        <v>6907965</v>
      </c>
      <c r="P248" s="4">
        <v>0</v>
      </c>
      <c r="Q248" s="4">
        <v>-2041</v>
      </c>
      <c r="R248" s="4">
        <v>0</v>
      </c>
      <c r="S248" s="4">
        <v>0</v>
      </c>
      <c r="T248" s="23">
        <v>3.55</v>
      </c>
      <c r="U248" s="23">
        <v>3.476</v>
      </c>
      <c r="V248" s="5" t="s">
        <v>248</v>
      </c>
      <c r="W248" s="4">
        <v>92537</v>
      </c>
      <c r="X248" s="4">
        <v>122475</v>
      </c>
      <c r="Y248" s="11">
        <v>44029</v>
      </c>
      <c r="Z248" s="11">
        <v>44788</v>
      </c>
      <c r="AA248" s="2"/>
      <c r="AB248" s="63" t="s">
        <v>3840</v>
      </c>
      <c r="AC248" s="5" t="s">
        <v>4198</v>
      </c>
      <c r="AD248" s="2"/>
      <c r="AE248" s="6"/>
      <c r="AF248" s="23"/>
      <c r="AG248" s="6"/>
      <c r="AH248" s="5" t="s">
        <v>2016</v>
      </c>
      <c r="AI248" s="5" t="s">
        <v>583</v>
      </c>
      <c r="AJ248" s="5" t="s">
        <v>3</v>
      </c>
      <c r="AK248" s="16" t="s">
        <v>3</v>
      </c>
      <c r="AL248" s="65" t="s">
        <v>3842</v>
      </c>
      <c r="AM248" s="31" t="s">
        <v>898</v>
      </c>
    </row>
    <row r="249" spans="2:39" x14ac:dyDescent="0.25">
      <c r="B249" s="18" t="s">
        <v>2764</v>
      </c>
      <c r="C249" s="44" t="s">
        <v>1681</v>
      </c>
      <c r="D249" s="20" t="s">
        <v>583</v>
      </c>
      <c r="E249" s="67" t="s">
        <v>3</v>
      </c>
      <c r="F249" s="51" t="s">
        <v>3</v>
      </c>
      <c r="G249" s="37" t="s">
        <v>2715</v>
      </c>
      <c r="H249" s="68" t="s">
        <v>2715</v>
      </c>
      <c r="I249" s="62" t="s">
        <v>252</v>
      </c>
      <c r="J249" s="61" t="s">
        <v>250</v>
      </c>
      <c r="K249" s="4">
        <v>4987183</v>
      </c>
      <c r="L249" s="39">
        <v>104.85</v>
      </c>
      <c r="M249" s="4">
        <v>5242500</v>
      </c>
      <c r="N249" s="4">
        <v>5000000</v>
      </c>
      <c r="O249" s="4">
        <v>4989437</v>
      </c>
      <c r="P249" s="4">
        <v>0</v>
      </c>
      <c r="Q249" s="4">
        <v>2252</v>
      </c>
      <c r="R249" s="4">
        <v>0</v>
      </c>
      <c r="S249" s="4">
        <v>0</v>
      </c>
      <c r="T249" s="23">
        <v>2.75</v>
      </c>
      <c r="U249" s="23">
        <v>2.8530000000000002</v>
      </c>
      <c r="V249" s="5" t="s">
        <v>248</v>
      </c>
      <c r="W249" s="4">
        <v>51944</v>
      </c>
      <c r="X249" s="4">
        <v>68750</v>
      </c>
      <c r="Y249" s="11">
        <v>44029</v>
      </c>
      <c r="Z249" s="11">
        <v>44972</v>
      </c>
      <c r="AA249" s="2"/>
      <c r="AB249" s="63" t="s">
        <v>3840</v>
      </c>
      <c r="AC249" s="5" t="s">
        <v>4198</v>
      </c>
      <c r="AD249" s="2"/>
      <c r="AE249" s="10">
        <v>44941</v>
      </c>
      <c r="AF249" s="23">
        <v>100</v>
      </c>
      <c r="AG249" s="6"/>
      <c r="AH249" s="5" t="s">
        <v>2016</v>
      </c>
      <c r="AI249" s="5" t="s">
        <v>583</v>
      </c>
      <c r="AJ249" s="5" t="s">
        <v>3</v>
      </c>
      <c r="AK249" s="16" t="s">
        <v>3</v>
      </c>
      <c r="AL249" s="65" t="s">
        <v>3842</v>
      </c>
      <c r="AM249" s="31" t="s">
        <v>898</v>
      </c>
    </row>
    <row r="250" spans="2:39" x14ac:dyDescent="0.25">
      <c r="B250" s="18" t="s">
        <v>4237</v>
      </c>
      <c r="C250" s="44" t="s">
        <v>3880</v>
      </c>
      <c r="D250" s="20" t="s">
        <v>941</v>
      </c>
      <c r="E250" s="67" t="s">
        <v>3</v>
      </c>
      <c r="F250" s="51" t="s">
        <v>3</v>
      </c>
      <c r="G250" s="37" t="s">
        <v>2715</v>
      </c>
      <c r="H250" s="68" t="s">
        <v>3842</v>
      </c>
      <c r="I250" s="62" t="s">
        <v>1157</v>
      </c>
      <c r="J250" s="61" t="s">
        <v>250</v>
      </c>
      <c r="K250" s="4">
        <v>2076620</v>
      </c>
      <c r="L250" s="39">
        <v>110.069</v>
      </c>
      <c r="M250" s="4">
        <v>2201380</v>
      </c>
      <c r="N250" s="4">
        <v>2000000</v>
      </c>
      <c r="O250" s="4">
        <v>2071273</v>
      </c>
      <c r="P250" s="4">
        <v>0</v>
      </c>
      <c r="Q250" s="4">
        <v>-5347</v>
      </c>
      <c r="R250" s="4">
        <v>0</v>
      </c>
      <c r="S250" s="4">
        <v>0</v>
      </c>
      <c r="T250" s="23">
        <v>3.5</v>
      </c>
      <c r="U250" s="23">
        <v>2.9180000000000001</v>
      </c>
      <c r="V250" s="5" t="s">
        <v>1982</v>
      </c>
      <c r="W250" s="4">
        <v>32278</v>
      </c>
      <c r="X250" s="4">
        <v>35000</v>
      </c>
      <c r="Y250" s="11">
        <v>43985</v>
      </c>
      <c r="Z250" s="11">
        <v>46767</v>
      </c>
      <c r="AA250" s="2"/>
      <c r="AB250" s="63" t="s">
        <v>3840</v>
      </c>
      <c r="AC250" s="5" t="s">
        <v>4198</v>
      </c>
      <c r="AD250" s="2"/>
      <c r="AE250" s="10">
        <v>46675</v>
      </c>
      <c r="AF250" s="23">
        <v>100</v>
      </c>
      <c r="AG250" s="10">
        <v>46675</v>
      </c>
      <c r="AH250" s="5" t="s">
        <v>3</v>
      </c>
      <c r="AI250" s="5" t="s">
        <v>292</v>
      </c>
      <c r="AJ250" s="5" t="s">
        <v>584</v>
      </c>
      <c r="AK250" s="16" t="s">
        <v>3</v>
      </c>
      <c r="AL250" s="65" t="s">
        <v>3842</v>
      </c>
      <c r="AM250" s="31" t="s">
        <v>926</v>
      </c>
    </row>
    <row r="251" spans="2:39" x14ac:dyDescent="0.25">
      <c r="B251" s="18" t="s">
        <v>942</v>
      </c>
      <c r="C251" s="44" t="s">
        <v>3574</v>
      </c>
      <c r="D251" s="20" t="s">
        <v>2251</v>
      </c>
      <c r="E251" s="67" t="s">
        <v>3</v>
      </c>
      <c r="F251" s="51" t="s">
        <v>3</v>
      </c>
      <c r="G251" s="37" t="s">
        <v>2715</v>
      </c>
      <c r="H251" s="68" t="s">
        <v>3842</v>
      </c>
      <c r="I251" s="62" t="s">
        <v>1157</v>
      </c>
      <c r="J251" s="61" t="s">
        <v>250</v>
      </c>
      <c r="K251" s="4">
        <v>3365972</v>
      </c>
      <c r="L251" s="39">
        <v>114.376</v>
      </c>
      <c r="M251" s="4">
        <v>3644019</v>
      </c>
      <c r="N251" s="4">
        <v>3186000</v>
      </c>
      <c r="O251" s="4">
        <v>3358086</v>
      </c>
      <c r="P251" s="4">
        <v>0</v>
      </c>
      <c r="Q251" s="4">
        <v>-7887</v>
      </c>
      <c r="R251" s="4">
        <v>0</v>
      </c>
      <c r="S251" s="4">
        <v>0</v>
      </c>
      <c r="T251" s="23">
        <v>4.1100000000000003</v>
      </c>
      <c r="U251" s="23">
        <v>3.2879999999999998</v>
      </c>
      <c r="V251" s="5" t="s">
        <v>12</v>
      </c>
      <c r="W251" s="4">
        <v>38556</v>
      </c>
      <c r="X251" s="4">
        <v>41466</v>
      </c>
      <c r="Y251" s="11">
        <v>44054</v>
      </c>
      <c r="Z251" s="11">
        <v>47011</v>
      </c>
      <c r="AA251" s="2"/>
      <c r="AB251" s="63" t="s">
        <v>3840</v>
      </c>
      <c r="AC251" s="5" t="s">
        <v>4198</v>
      </c>
      <c r="AD251" s="2"/>
      <c r="AE251" s="11">
        <v>46919</v>
      </c>
      <c r="AF251" s="23">
        <v>100</v>
      </c>
      <c r="AG251" s="11">
        <v>46919</v>
      </c>
      <c r="AH251" s="5" t="s">
        <v>1373</v>
      </c>
      <c r="AI251" s="5" t="s">
        <v>2251</v>
      </c>
      <c r="AJ251" s="5" t="s">
        <v>3</v>
      </c>
      <c r="AK251" s="16" t="s">
        <v>3</v>
      </c>
      <c r="AL251" s="65" t="s">
        <v>3842</v>
      </c>
      <c r="AM251" s="31" t="s">
        <v>926</v>
      </c>
    </row>
    <row r="252" spans="2:39" x14ac:dyDescent="0.25">
      <c r="B252" s="18" t="s">
        <v>2017</v>
      </c>
      <c r="C252" s="44" t="s">
        <v>2469</v>
      </c>
      <c r="D252" s="20" t="s">
        <v>2251</v>
      </c>
      <c r="E252" s="67" t="s">
        <v>3</v>
      </c>
      <c r="F252" s="51" t="s">
        <v>3</v>
      </c>
      <c r="G252" s="37" t="s">
        <v>2715</v>
      </c>
      <c r="H252" s="68" t="s">
        <v>3842</v>
      </c>
      <c r="I252" s="62" t="s">
        <v>1157</v>
      </c>
      <c r="J252" s="61" t="s">
        <v>250</v>
      </c>
      <c r="K252" s="4">
        <v>4969365</v>
      </c>
      <c r="L252" s="39">
        <v>114.518</v>
      </c>
      <c r="M252" s="4">
        <v>5725900</v>
      </c>
      <c r="N252" s="4">
        <v>5000000</v>
      </c>
      <c r="O252" s="4">
        <v>4971486</v>
      </c>
      <c r="P252" s="4">
        <v>0</v>
      </c>
      <c r="Q252" s="4">
        <v>2121</v>
      </c>
      <c r="R252" s="4">
        <v>0</v>
      </c>
      <c r="S252" s="4">
        <v>0</v>
      </c>
      <c r="T252" s="23">
        <v>4.25</v>
      </c>
      <c r="U252" s="23">
        <v>4.3719999999999999</v>
      </c>
      <c r="V252" s="5" t="s">
        <v>3843</v>
      </c>
      <c r="W252" s="4">
        <v>44861</v>
      </c>
      <c r="X252" s="4">
        <v>106250</v>
      </c>
      <c r="Y252" s="11">
        <v>44054</v>
      </c>
      <c r="Z252" s="11">
        <v>46127</v>
      </c>
      <c r="AA252" s="2"/>
      <c r="AB252" s="63" t="s">
        <v>3840</v>
      </c>
      <c r="AC252" s="5" t="s">
        <v>4198</v>
      </c>
      <c r="AD252" s="2"/>
      <c r="AE252" s="11">
        <v>46068</v>
      </c>
      <c r="AF252" s="23">
        <v>100</v>
      </c>
      <c r="AG252" s="6"/>
      <c r="AH252" s="5" t="s">
        <v>1373</v>
      </c>
      <c r="AI252" s="5" t="s">
        <v>2251</v>
      </c>
      <c r="AJ252" s="5" t="s">
        <v>3</v>
      </c>
      <c r="AK252" s="16" t="s">
        <v>3</v>
      </c>
      <c r="AL252" s="65" t="s">
        <v>3842</v>
      </c>
      <c r="AM252" s="31" t="s">
        <v>926</v>
      </c>
    </row>
    <row r="253" spans="2:39" x14ac:dyDescent="0.25">
      <c r="B253" s="18" t="s">
        <v>3105</v>
      </c>
      <c r="C253" s="44" t="s">
        <v>45</v>
      </c>
      <c r="D253" s="20" t="s">
        <v>1187</v>
      </c>
      <c r="E253" s="67" t="s">
        <v>3</v>
      </c>
      <c r="F253" s="51" t="s">
        <v>3</v>
      </c>
      <c r="G253" s="37" t="s">
        <v>2715</v>
      </c>
      <c r="H253" s="68" t="s">
        <v>929</v>
      </c>
      <c r="I253" s="62" t="s">
        <v>10</v>
      </c>
      <c r="J253" s="61" t="s">
        <v>250</v>
      </c>
      <c r="K253" s="4">
        <v>1930000</v>
      </c>
      <c r="L253" s="39">
        <v>102.42</v>
      </c>
      <c r="M253" s="4">
        <v>2048400</v>
      </c>
      <c r="N253" s="4">
        <v>2000000</v>
      </c>
      <c r="O253" s="4">
        <v>1937238</v>
      </c>
      <c r="P253" s="4">
        <v>0</v>
      </c>
      <c r="Q253" s="4">
        <v>7238</v>
      </c>
      <c r="R253" s="4">
        <v>0</v>
      </c>
      <c r="S253" s="4">
        <v>0</v>
      </c>
      <c r="T253" s="23">
        <v>4.3499999999999996</v>
      </c>
      <c r="U253" s="23">
        <v>5.2750000000000004</v>
      </c>
      <c r="V253" s="5" t="s">
        <v>3843</v>
      </c>
      <c r="W253" s="4">
        <v>18367</v>
      </c>
      <c r="X253" s="4">
        <v>43500</v>
      </c>
      <c r="Y253" s="11">
        <v>44019</v>
      </c>
      <c r="Z253" s="11">
        <v>45580</v>
      </c>
      <c r="AA253" s="2"/>
      <c r="AB253" s="63" t="s">
        <v>3840</v>
      </c>
      <c r="AC253" s="5" t="s">
        <v>4198</v>
      </c>
      <c r="AD253" s="2"/>
      <c r="AE253" s="11">
        <v>45488</v>
      </c>
      <c r="AF253" s="23">
        <v>100</v>
      </c>
      <c r="AG253" s="6"/>
      <c r="AH253" s="5" t="s">
        <v>2252</v>
      </c>
      <c r="AI253" s="5" t="s">
        <v>585</v>
      </c>
      <c r="AJ253" s="5" t="s">
        <v>4238</v>
      </c>
      <c r="AK253" s="16" t="s">
        <v>3</v>
      </c>
      <c r="AL253" s="65" t="s">
        <v>3842</v>
      </c>
      <c r="AM253" s="31" t="s">
        <v>586</v>
      </c>
    </row>
    <row r="254" spans="2:39" x14ac:dyDescent="0.25">
      <c r="B254" s="18" t="s">
        <v>587</v>
      </c>
      <c r="C254" s="44" t="s">
        <v>3575</v>
      </c>
      <c r="D254" s="20" t="s">
        <v>3576</v>
      </c>
      <c r="E254" s="67" t="s">
        <v>3</v>
      </c>
      <c r="F254" s="51" t="s">
        <v>3</v>
      </c>
      <c r="G254" s="37" t="s">
        <v>2715</v>
      </c>
      <c r="H254" s="68" t="s">
        <v>929</v>
      </c>
      <c r="I254" s="62" t="s">
        <v>10</v>
      </c>
      <c r="J254" s="61" t="s">
        <v>250</v>
      </c>
      <c r="K254" s="4">
        <v>1000000</v>
      </c>
      <c r="L254" s="39">
        <v>101.512</v>
      </c>
      <c r="M254" s="4">
        <v>1015120</v>
      </c>
      <c r="N254" s="4">
        <v>1000000</v>
      </c>
      <c r="O254" s="4">
        <v>1000000</v>
      </c>
      <c r="P254" s="4">
        <v>0</v>
      </c>
      <c r="Q254" s="4">
        <v>0</v>
      </c>
      <c r="R254" s="4">
        <v>0</v>
      </c>
      <c r="S254" s="4">
        <v>0</v>
      </c>
      <c r="T254" s="23">
        <v>4.125</v>
      </c>
      <c r="U254" s="23">
        <v>4.1210000000000004</v>
      </c>
      <c r="V254" s="5" t="s">
        <v>12</v>
      </c>
      <c r="W254" s="4">
        <v>13750</v>
      </c>
      <c r="X254" s="4">
        <v>22000</v>
      </c>
      <c r="Y254" s="11">
        <v>43872</v>
      </c>
      <c r="Z254" s="11">
        <v>45717</v>
      </c>
      <c r="AA254" s="2"/>
      <c r="AB254" s="63" t="s">
        <v>3840</v>
      </c>
      <c r="AC254" s="5" t="s">
        <v>4198</v>
      </c>
      <c r="AD254" s="2"/>
      <c r="AE254" s="11">
        <v>45689</v>
      </c>
      <c r="AF254" s="23">
        <v>100</v>
      </c>
      <c r="AG254" s="6"/>
      <c r="AH254" s="5" t="s">
        <v>2252</v>
      </c>
      <c r="AI254" s="5" t="s">
        <v>585</v>
      </c>
      <c r="AJ254" s="5" t="s">
        <v>928</v>
      </c>
      <c r="AK254" s="16" t="s">
        <v>3</v>
      </c>
      <c r="AL254" s="65" t="s">
        <v>3842</v>
      </c>
      <c r="AM254" s="31" t="s">
        <v>586</v>
      </c>
    </row>
    <row r="255" spans="2:39" x14ac:dyDescent="0.25">
      <c r="B255" s="18" t="s">
        <v>1682</v>
      </c>
      <c r="C255" s="44" t="s">
        <v>588</v>
      </c>
      <c r="D255" s="20" t="s">
        <v>46</v>
      </c>
      <c r="E255" s="67" t="s">
        <v>3</v>
      </c>
      <c r="F255" s="51" t="s">
        <v>3</v>
      </c>
      <c r="G255" s="37" t="s">
        <v>2715</v>
      </c>
      <c r="H255" s="68" t="s">
        <v>3842</v>
      </c>
      <c r="I255" s="62" t="s">
        <v>1157</v>
      </c>
      <c r="J255" s="61" t="s">
        <v>250</v>
      </c>
      <c r="K255" s="4">
        <v>1985610</v>
      </c>
      <c r="L255" s="39">
        <v>103.753</v>
      </c>
      <c r="M255" s="4">
        <v>2075060</v>
      </c>
      <c r="N255" s="4">
        <v>2000000</v>
      </c>
      <c r="O255" s="4">
        <v>1992828</v>
      </c>
      <c r="P255" s="4">
        <v>0</v>
      </c>
      <c r="Q255" s="4">
        <v>3955</v>
      </c>
      <c r="R255" s="4">
        <v>0</v>
      </c>
      <c r="S255" s="4">
        <v>0</v>
      </c>
      <c r="T255" s="23">
        <v>3</v>
      </c>
      <c r="U255" s="23">
        <v>3.214</v>
      </c>
      <c r="V255" s="5" t="s">
        <v>12</v>
      </c>
      <c r="W255" s="4">
        <v>16000</v>
      </c>
      <c r="X255" s="4">
        <v>60000</v>
      </c>
      <c r="Y255" s="11">
        <v>43553</v>
      </c>
      <c r="Z255" s="11">
        <v>44829</v>
      </c>
      <c r="AA255" s="2"/>
      <c r="AB255" s="63" t="s">
        <v>3840</v>
      </c>
      <c r="AC255" s="5" t="s">
        <v>4198</v>
      </c>
      <c r="AD255" s="2"/>
      <c r="AE255" s="11">
        <v>44798</v>
      </c>
      <c r="AF255" s="23">
        <v>100</v>
      </c>
      <c r="AG255" s="9"/>
      <c r="AH255" s="5" t="s">
        <v>47</v>
      </c>
      <c r="AI255" s="5" t="s">
        <v>3881</v>
      </c>
      <c r="AJ255" s="5" t="s">
        <v>2018</v>
      </c>
      <c r="AK255" s="16" t="s">
        <v>3</v>
      </c>
      <c r="AL255" s="65" t="s">
        <v>3842</v>
      </c>
      <c r="AM255" s="31" t="s">
        <v>926</v>
      </c>
    </row>
    <row r="256" spans="2:39" x14ac:dyDescent="0.25">
      <c r="B256" s="18" t="s">
        <v>2765</v>
      </c>
      <c r="C256" s="44" t="s">
        <v>1188</v>
      </c>
      <c r="D256" s="20" t="s">
        <v>1189</v>
      </c>
      <c r="E256" s="67" t="s">
        <v>3</v>
      </c>
      <c r="F256" s="51" t="s">
        <v>3</v>
      </c>
      <c r="G256" s="37" t="s">
        <v>2715</v>
      </c>
      <c r="H256" s="68" t="s">
        <v>3842</v>
      </c>
      <c r="I256" s="62" t="s">
        <v>1157</v>
      </c>
      <c r="J256" s="61" t="s">
        <v>250</v>
      </c>
      <c r="K256" s="4">
        <v>5973900</v>
      </c>
      <c r="L256" s="39">
        <v>110.48399999999999</v>
      </c>
      <c r="M256" s="4">
        <v>6629040</v>
      </c>
      <c r="N256" s="4">
        <v>6000000</v>
      </c>
      <c r="O256" s="4">
        <v>5984052</v>
      </c>
      <c r="P256" s="4">
        <v>0</v>
      </c>
      <c r="Q256" s="4">
        <v>4530</v>
      </c>
      <c r="R256" s="4">
        <v>0</v>
      </c>
      <c r="S256" s="4">
        <v>0</v>
      </c>
      <c r="T256" s="23">
        <v>4.3499999999999996</v>
      </c>
      <c r="U256" s="23">
        <v>4.4400000000000004</v>
      </c>
      <c r="V256" s="5" t="s">
        <v>12</v>
      </c>
      <c r="W256" s="4">
        <v>76850</v>
      </c>
      <c r="X256" s="4">
        <v>261000</v>
      </c>
      <c r="Y256" s="11">
        <v>43360</v>
      </c>
      <c r="Z256" s="11">
        <v>45366</v>
      </c>
      <c r="AA256" s="2"/>
      <c r="AB256" s="63" t="s">
        <v>3840</v>
      </c>
      <c r="AC256" s="5" t="s">
        <v>4198</v>
      </c>
      <c r="AD256" s="2"/>
      <c r="AE256" s="10">
        <v>45337</v>
      </c>
      <c r="AF256" s="23">
        <v>100</v>
      </c>
      <c r="AG256" s="6"/>
      <c r="AH256" s="5" t="s">
        <v>3</v>
      </c>
      <c r="AI256" s="5" t="s">
        <v>1189</v>
      </c>
      <c r="AJ256" s="5" t="s">
        <v>3</v>
      </c>
      <c r="AK256" s="16" t="s">
        <v>3</v>
      </c>
      <c r="AL256" s="65" t="s">
        <v>3842</v>
      </c>
      <c r="AM256" s="31" t="s">
        <v>926</v>
      </c>
    </row>
    <row r="257" spans="2:39" x14ac:dyDescent="0.25">
      <c r="B257" s="18" t="s">
        <v>3882</v>
      </c>
      <c r="C257" s="44" t="s">
        <v>1374</v>
      </c>
      <c r="D257" s="20" t="s">
        <v>2470</v>
      </c>
      <c r="E257" s="67" t="s">
        <v>3</v>
      </c>
      <c r="F257" s="51" t="s">
        <v>3</v>
      </c>
      <c r="G257" s="37" t="s">
        <v>2715</v>
      </c>
      <c r="H257" s="68" t="s">
        <v>3842</v>
      </c>
      <c r="I257" s="62" t="s">
        <v>10</v>
      </c>
      <c r="J257" s="61" t="s">
        <v>250</v>
      </c>
      <c r="K257" s="4">
        <v>6147780</v>
      </c>
      <c r="L257" s="39">
        <v>109.749</v>
      </c>
      <c r="M257" s="4">
        <v>6584940</v>
      </c>
      <c r="N257" s="4">
        <v>6000000</v>
      </c>
      <c r="O257" s="4">
        <v>6129916</v>
      </c>
      <c r="P257" s="4">
        <v>0</v>
      </c>
      <c r="Q257" s="4">
        <v>-17864</v>
      </c>
      <c r="R257" s="4">
        <v>0</v>
      </c>
      <c r="S257" s="4">
        <v>0</v>
      </c>
      <c r="T257" s="23">
        <v>2.9</v>
      </c>
      <c r="U257" s="23">
        <v>2.496</v>
      </c>
      <c r="V257" s="5" t="s">
        <v>1982</v>
      </c>
      <c r="W257" s="4">
        <v>80233</v>
      </c>
      <c r="X257" s="4">
        <v>87000</v>
      </c>
      <c r="Y257" s="11">
        <v>43873</v>
      </c>
      <c r="Z257" s="11">
        <v>46402</v>
      </c>
      <c r="AA257" s="2"/>
      <c r="AB257" s="63" t="s">
        <v>3840</v>
      </c>
      <c r="AC257" s="5" t="s">
        <v>4198</v>
      </c>
      <c r="AD257" s="2"/>
      <c r="AE257" s="10">
        <v>46310</v>
      </c>
      <c r="AF257" s="23">
        <v>100</v>
      </c>
      <c r="AG257" s="10">
        <v>46310</v>
      </c>
      <c r="AH257" s="5" t="s">
        <v>293</v>
      </c>
      <c r="AI257" s="5" t="s">
        <v>2470</v>
      </c>
      <c r="AJ257" s="5" t="s">
        <v>3</v>
      </c>
      <c r="AK257" s="16" t="s">
        <v>3</v>
      </c>
      <c r="AL257" s="65" t="s">
        <v>3842</v>
      </c>
      <c r="AM257" s="31" t="s">
        <v>1176</v>
      </c>
    </row>
    <row r="258" spans="2:39" x14ac:dyDescent="0.25">
      <c r="B258" s="18" t="s">
        <v>589</v>
      </c>
      <c r="C258" s="44" t="s">
        <v>590</v>
      </c>
      <c r="D258" s="20" t="s">
        <v>2470</v>
      </c>
      <c r="E258" s="67" t="s">
        <v>3</v>
      </c>
      <c r="F258" s="51" t="s">
        <v>3</v>
      </c>
      <c r="G258" s="37" t="s">
        <v>2715</v>
      </c>
      <c r="H258" s="68" t="s">
        <v>3842</v>
      </c>
      <c r="I258" s="62" t="s">
        <v>10</v>
      </c>
      <c r="J258" s="61" t="s">
        <v>250</v>
      </c>
      <c r="K258" s="4">
        <v>4961267</v>
      </c>
      <c r="L258" s="39">
        <v>104.605</v>
      </c>
      <c r="M258" s="4">
        <v>5230250</v>
      </c>
      <c r="N258" s="4">
        <v>5000000</v>
      </c>
      <c r="O258" s="4">
        <v>4978010</v>
      </c>
      <c r="P258" s="4">
        <v>0</v>
      </c>
      <c r="Q258" s="4">
        <v>8634</v>
      </c>
      <c r="R258" s="4">
        <v>0</v>
      </c>
      <c r="S258" s="4">
        <v>0</v>
      </c>
      <c r="T258" s="23">
        <v>2.9</v>
      </c>
      <c r="U258" s="23">
        <v>3.09</v>
      </c>
      <c r="V258" s="5" t="s">
        <v>3844</v>
      </c>
      <c r="W258" s="4">
        <v>12083</v>
      </c>
      <c r="X258" s="4">
        <v>145000</v>
      </c>
      <c r="Y258" s="11">
        <v>43553</v>
      </c>
      <c r="Z258" s="11">
        <v>45078</v>
      </c>
      <c r="AA258" s="2"/>
      <c r="AB258" s="63" t="s">
        <v>3840</v>
      </c>
      <c r="AC258" s="5" t="s">
        <v>9</v>
      </c>
      <c r="AD258" s="2"/>
      <c r="AE258" s="10">
        <v>45047</v>
      </c>
      <c r="AF258" s="23">
        <v>100</v>
      </c>
      <c r="AG258" s="6"/>
      <c r="AH258" s="5" t="s">
        <v>293</v>
      </c>
      <c r="AI258" s="5" t="s">
        <v>2470</v>
      </c>
      <c r="AJ258" s="5" t="s">
        <v>3</v>
      </c>
      <c r="AK258" s="16" t="s">
        <v>3</v>
      </c>
      <c r="AL258" s="65" t="s">
        <v>3842</v>
      </c>
      <c r="AM258" s="31" t="s">
        <v>1176</v>
      </c>
    </row>
    <row r="259" spans="2:39" x14ac:dyDescent="0.25">
      <c r="B259" s="18" t="s">
        <v>2019</v>
      </c>
      <c r="C259" s="44" t="s">
        <v>2253</v>
      </c>
      <c r="D259" s="20" t="s">
        <v>2471</v>
      </c>
      <c r="E259" s="67" t="s">
        <v>3</v>
      </c>
      <c r="F259" s="51" t="s">
        <v>3</v>
      </c>
      <c r="G259" s="37" t="s">
        <v>3</v>
      </c>
      <c r="H259" s="68" t="s">
        <v>3842</v>
      </c>
      <c r="I259" s="62" t="s">
        <v>1157</v>
      </c>
      <c r="J259" s="61" t="s">
        <v>250</v>
      </c>
      <c r="K259" s="4">
        <v>1486470</v>
      </c>
      <c r="L259" s="39">
        <v>102.345</v>
      </c>
      <c r="M259" s="4">
        <v>1535175</v>
      </c>
      <c r="N259" s="4">
        <v>1500000</v>
      </c>
      <c r="O259" s="4">
        <v>1497333</v>
      </c>
      <c r="P259" s="4">
        <v>0</v>
      </c>
      <c r="Q259" s="4">
        <v>2814</v>
      </c>
      <c r="R259" s="4">
        <v>0</v>
      </c>
      <c r="S259" s="4">
        <v>0</v>
      </c>
      <c r="T259" s="23">
        <v>3.4</v>
      </c>
      <c r="U259" s="23">
        <v>3.5990000000000002</v>
      </c>
      <c r="V259" s="5" t="s">
        <v>3844</v>
      </c>
      <c r="W259" s="4">
        <v>4250</v>
      </c>
      <c r="X259" s="4">
        <v>51000</v>
      </c>
      <c r="Y259" s="11">
        <v>42710</v>
      </c>
      <c r="Z259" s="11">
        <v>44531</v>
      </c>
      <c r="AA259" s="2"/>
      <c r="AB259" s="63" t="s">
        <v>3840</v>
      </c>
      <c r="AC259" s="5" t="s">
        <v>9</v>
      </c>
      <c r="AD259" s="2"/>
      <c r="AE259" s="9"/>
      <c r="AF259" s="23"/>
      <c r="AG259" s="9"/>
      <c r="AH259" s="5" t="s">
        <v>294</v>
      </c>
      <c r="AI259" s="5" t="s">
        <v>2471</v>
      </c>
      <c r="AJ259" s="5" t="s">
        <v>3</v>
      </c>
      <c r="AK259" s="16" t="s">
        <v>3</v>
      </c>
      <c r="AL259" s="65" t="s">
        <v>2715</v>
      </c>
      <c r="AM259" s="31" t="s">
        <v>926</v>
      </c>
    </row>
    <row r="260" spans="2:39" x14ac:dyDescent="0.25">
      <c r="B260" s="18" t="s">
        <v>3106</v>
      </c>
      <c r="C260" s="44" t="s">
        <v>2472</v>
      </c>
      <c r="D260" s="20" t="s">
        <v>943</v>
      </c>
      <c r="E260" s="67" t="s">
        <v>3</v>
      </c>
      <c r="F260" s="51" t="s">
        <v>3</v>
      </c>
      <c r="G260" s="37" t="s">
        <v>2715</v>
      </c>
      <c r="H260" s="68" t="s">
        <v>3842</v>
      </c>
      <c r="I260" s="62" t="s">
        <v>10</v>
      </c>
      <c r="J260" s="61" t="s">
        <v>250</v>
      </c>
      <c r="K260" s="4">
        <v>4996190</v>
      </c>
      <c r="L260" s="39">
        <v>115.04</v>
      </c>
      <c r="M260" s="4">
        <v>5752000</v>
      </c>
      <c r="N260" s="4">
        <v>5000000</v>
      </c>
      <c r="O260" s="4">
        <v>4997143</v>
      </c>
      <c r="P260" s="4">
        <v>0</v>
      </c>
      <c r="Q260" s="4">
        <v>519</v>
      </c>
      <c r="R260" s="4">
        <v>0</v>
      </c>
      <c r="S260" s="4">
        <v>0</v>
      </c>
      <c r="T260" s="23">
        <v>4.125</v>
      </c>
      <c r="U260" s="23">
        <v>4.1379999999999999</v>
      </c>
      <c r="V260" s="5" t="s">
        <v>3312</v>
      </c>
      <c r="W260" s="4">
        <v>26354</v>
      </c>
      <c r="X260" s="4">
        <v>206250</v>
      </c>
      <c r="Y260" s="11">
        <v>43704</v>
      </c>
      <c r="Z260" s="11">
        <v>45976</v>
      </c>
      <c r="AA260" s="2"/>
      <c r="AB260" s="63" t="s">
        <v>3840</v>
      </c>
      <c r="AC260" s="5" t="s">
        <v>4198</v>
      </c>
      <c r="AD260" s="2"/>
      <c r="AE260" s="11">
        <v>45915</v>
      </c>
      <c r="AF260" s="23">
        <v>100</v>
      </c>
      <c r="AG260" s="9"/>
      <c r="AH260" s="5" t="s">
        <v>3</v>
      </c>
      <c r="AI260" s="5" t="s">
        <v>943</v>
      </c>
      <c r="AJ260" s="5" t="s">
        <v>3</v>
      </c>
      <c r="AK260" s="16" t="s">
        <v>3</v>
      </c>
      <c r="AL260" s="65" t="s">
        <v>3842</v>
      </c>
      <c r="AM260" s="31" t="s">
        <v>1176</v>
      </c>
    </row>
    <row r="261" spans="2:39" x14ac:dyDescent="0.25">
      <c r="B261" s="18" t="s">
        <v>4239</v>
      </c>
      <c r="C261" s="44" t="s">
        <v>3347</v>
      </c>
      <c r="D261" s="20" t="s">
        <v>943</v>
      </c>
      <c r="E261" s="67" t="s">
        <v>3</v>
      </c>
      <c r="F261" s="51" t="s">
        <v>3</v>
      </c>
      <c r="G261" s="37" t="s">
        <v>2715</v>
      </c>
      <c r="H261" s="68" t="s">
        <v>3842</v>
      </c>
      <c r="I261" s="62" t="s">
        <v>10</v>
      </c>
      <c r="J261" s="61" t="s">
        <v>250</v>
      </c>
      <c r="K261" s="4">
        <v>5052626</v>
      </c>
      <c r="L261" s="39">
        <v>103.833</v>
      </c>
      <c r="M261" s="4">
        <v>5191650</v>
      </c>
      <c r="N261" s="4">
        <v>5000000</v>
      </c>
      <c r="O261" s="4">
        <v>5037563</v>
      </c>
      <c r="P261" s="4">
        <v>0</v>
      </c>
      <c r="Q261" s="4">
        <v>-15062</v>
      </c>
      <c r="R261" s="4">
        <v>0</v>
      </c>
      <c r="S261" s="4">
        <v>0</v>
      </c>
      <c r="T261" s="23">
        <v>3.9</v>
      </c>
      <c r="U261" s="23">
        <v>3.2130000000000001</v>
      </c>
      <c r="V261" s="5" t="s">
        <v>248</v>
      </c>
      <c r="W261" s="4">
        <v>73667</v>
      </c>
      <c r="X261" s="4">
        <v>97500</v>
      </c>
      <c r="Y261" s="11">
        <v>44026</v>
      </c>
      <c r="Z261" s="11">
        <v>44607</v>
      </c>
      <c r="AA261" s="2"/>
      <c r="AB261" s="63" t="s">
        <v>3840</v>
      </c>
      <c r="AC261" s="5" t="s">
        <v>4198</v>
      </c>
      <c r="AD261" s="2"/>
      <c r="AE261" s="9"/>
      <c r="AF261" s="23"/>
      <c r="AG261" s="6"/>
      <c r="AH261" s="5" t="s">
        <v>3</v>
      </c>
      <c r="AI261" s="5" t="s">
        <v>943</v>
      </c>
      <c r="AJ261" s="5" t="s">
        <v>3</v>
      </c>
      <c r="AK261" s="16" t="s">
        <v>3</v>
      </c>
      <c r="AL261" s="65" t="s">
        <v>3842</v>
      </c>
      <c r="AM261" s="31" t="s">
        <v>1176</v>
      </c>
    </row>
    <row r="262" spans="2:39" x14ac:dyDescent="0.25">
      <c r="B262" s="18" t="s">
        <v>944</v>
      </c>
      <c r="C262" s="44" t="s">
        <v>48</v>
      </c>
      <c r="D262" s="20" t="s">
        <v>943</v>
      </c>
      <c r="E262" s="67" t="s">
        <v>3</v>
      </c>
      <c r="F262" s="51" t="s">
        <v>3</v>
      </c>
      <c r="G262" s="37" t="s">
        <v>2715</v>
      </c>
      <c r="H262" s="68" t="s">
        <v>3842</v>
      </c>
      <c r="I262" s="62" t="s">
        <v>10</v>
      </c>
      <c r="J262" s="61" t="s">
        <v>250</v>
      </c>
      <c r="K262" s="4">
        <v>4998112</v>
      </c>
      <c r="L262" s="39">
        <v>105.91800000000001</v>
      </c>
      <c r="M262" s="4">
        <v>5295900</v>
      </c>
      <c r="N262" s="4">
        <v>5000000</v>
      </c>
      <c r="O262" s="4">
        <v>4998395</v>
      </c>
      <c r="P262" s="4">
        <v>0</v>
      </c>
      <c r="Q262" s="4">
        <v>284</v>
      </c>
      <c r="R262" s="4">
        <v>0</v>
      </c>
      <c r="S262" s="4">
        <v>0</v>
      </c>
      <c r="T262" s="23">
        <v>3</v>
      </c>
      <c r="U262" s="23">
        <v>3.0129999999999999</v>
      </c>
      <c r="V262" s="5" t="s">
        <v>1982</v>
      </c>
      <c r="W262" s="4">
        <v>69167</v>
      </c>
      <c r="X262" s="4">
        <v>75000</v>
      </c>
      <c r="Y262" s="11">
        <v>44026</v>
      </c>
      <c r="Z262" s="11">
        <v>45122</v>
      </c>
      <c r="AA262" s="2"/>
      <c r="AB262" s="63" t="s">
        <v>3840</v>
      </c>
      <c r="AC262" s="5" t="s">
        <v>4198</v>
      </c>
      <c r="AD262" s="2"/>
      <c r="AE262" s="11">
        <v>45062</v>
      </c>
      <c r="AF262" s="23">
        <v>100</v>
      </c>
      <c r="AG262" s="6"/>
      <c r="AH262" s="5" t="s">
        <v>3</v>
      </c>
      <c r="AI262" s="5" t="s">
        <v>943</v>
      </c>
      <c r="AJ262" s="5" t="s">
        <v>3</v>
      </c>
      <c r="AK262" s="16" t="s">
        <v>3</v>
      </c>
      <c r="AL262" s="65" t="s">
        <v>3842</v>
      </c>
      <c r="AM262" s="31" t="s">
        <v>1176</v>
      </c>
    </row>
    <row r="263" spans="2:39" x14ac:dyDescent="0.25">
      <c r="B263" s="18" t="s">
        <v>2020</v>
      </c>
      <c r="C263" s="44" t="s">
        <v>591</v>
      </c>
      <c r="D263" s="20" t="s">
        <v>3883</v>
      </c>
      <c r="E263" s="67" t="s">
        <v>3</v>
      </c>
      <c r="F263" s="51" t="s">
        <v>3</v>
      </c>
      <c r="G263" s="37" t="s">
        <v>2715</v>
      </c>
      <c r="H263" s="68" t="s">
        <v>929</v>
      </c>
      <c r="I263" s="62" t="s">
        <v>3310</v>
      </c>
      <c r="J263" s="61" t="s">
        <v>250</v>
      </c>
      <c r="K263" s="4">
        <v>2015000</v>
      </c>
      <c r="L263" s="39">
        <v>109.123</v>
      </c>
      <c r="M263" s="4">
        <v>2182460</v>
      </c>
      <c r="N263" s="4">
        <v>2000000</v>
      </c>
      <c r="O263" s="4">
        <v>2012524</v>
      </c>
      <c r="P263" s="4">
        <v>0</v>
      </c>
      <c r="Q263" s="4">
        <v>-2476</v>
      </c>
      <c r="R263" s="4">
        <v>0</v>
      </c>
      <c r="S263" s="4">
        <v>0</v>
      </c>
      <c r="T263" s="23">
        <v>5</v>
      </c>
      <c r="U263" s="23">
        <v>4.74</v>
      </c>
      <c r="V263" s="5" t="s">
        <v>248</v>
      </c>
      <c r="W263" s="4">
        <v>41667</v>
      </c>
      <c r="X263" s="4">
        <v>50000</v>
      </c>
      <c r="Y263" s="11">
        <v>43983</v>
      </c>
      <c r="Z263" s="11">
        <v>45139</v>
      </c>
      <c r="AA263" s="2"/>
      <c r="AB263" s="63" t="s">
        <v>3840</v>
      </c>
      <c r="AC263" s="5" t="s">
        <v>4198</v>
      </c>
      <c r="AD263" s="2"/>
      <c r="AE263" s="6"/>
      <c r="AF263" s="23"/>
      <c r="AG263" s="6"/>
      <c r="AH263" s="5" t="s">
        <v>3</v>
      </c>
      <c r="AI263" s="5" t="s">
        <v>3883</v>
      </c>
      <c r="AJ263" s="5" t="s">
        <v>3</v>
      </c>
      <c r="AK263" s="16" t="s">
        <v>3</v>
      </c>
      <c r="AL263" s="65" t="s">
        <v>3842</v>
      </c>
      <c r="AM263" s="31" t="s">
        <v>933</v>
      </c>
    </row>
    <row r="264" spans="2:39" x14ac:dyDescent="0.25">
      <c r="B264" s="18" t="s">
        <v>3884</v>
      </c>
      <c r="C264" s="44" t="s">
        <v>295</v>
      </c>
      <c r="D264" s="20" t="s">
        <v>3883</v>
      </c>
      <c r="E264" s="67" t="s">
        <v>3</v>
      </c>
      <c r="F264" s="51" t="s">
        <v>3</v>
      </c>
      <c r="G264" s="37" t="s">
        <v>2715</v>
      </c>
      <c r="H264" s="68" t="s">
        <v>929</v>
      </c>
      <c r="I264" s="62" t="s">
        <v>3310</v>
      </c>
      <c r="J264" s="61" t="s">
        <v>250</v>
      </c>
      <c r="K264" s="4">
        <v>3000000</v>
      </c>
      <c r="L264" s="39">
        <v>105.55800000000001</v>
      </c>
      <c r="M264" s="4">
        <v>3166740</v>
      </c>
      <c r="N264" s="4">
        <v>3000000</v>
      </c>
      <c r="O264" s="4">
        <v>2999891</v>
      </c>
      <c r="P264" s="4">
        <v>0</v>
      </c>
      <c r="Q264" s="4">
        <v>-109</v>
      </c>
      <c r="R264" s="4">
        <v>0</v>
      </c>
      <c r="S264" s="4">
        <v>0</v>
      </c>
      <c r="T264" s="23">
        <v>3.9289999999999998</v>
      </c>
      <c r="U264" s="23">
        <v>3.9209999999999998</v>
      </c>
      <c r="V264" s="5" t="s">
        <v>3844</v>
      </c>
      <c r="W264" s="4">
        <v>3929</v>
      </c>
      <c r="X264" s="4">
        <v>58935</v>
      </c>
      <c r="Y264" s="11">
        <v>43998</v>
      </c>
      <c r="Z264" s="11">
        <v>45462</v>
      </c>
      <c r="AA264" s="2"/>
      <c r="AB264" s="63" t="s">
        <v>3840</v>
      </c>
      <c r="AC264" s="5" t="s">
        <v>4198</v>
      </c>
      <c r="AD264" s="2"/>
      <c r="AE264" s="11">
        <v>45096</v>
      </c>
      <c r="AF264" s="23">
        <v>100</v>
      </c>
      <c r="AG264" s="9"/>
      <c r="AH264" s="5" t="s">
        <v>3</v>
      </c>
      <c r="AI264" s="5" t="s">
        <v>3883</v>
      </c>
      <c r="AJ264" s="5" t="s">
        <v>3</v>
      </c>
      <c r="AK264" s="16" t="s">
        <v>3</v>
      </c>
      <c r="AL264" s="65" t="s">
        <v>3842</v>
      </c>
      <c r="AM264" s="31" t="s">
        <v>933</v>
      </c>
    </row>
    <row r="265" spans="2:39" x14ac:dyDescent="0.25">
      <c r="B265" s="18" t="s">
        <v>592</v>
      </c>
      <c r="C265" s="44" t="s">
        <v>49</v>
      </c>
      <c r="D265" s="20" t="s">
        <v>50</v>
      </c>
      <c r="E265" s="67" t="s">
        <v>3</v>
      </c>
      <c r="F265" s="51" t="s">
        <v>3</v>
      </c>
      <c r="G265" s="37" t="s">
        <v>3</v>
      </c>
      <c r="H265" s="68" t="s">
        <v>2715</v>
      </c>
      <c r="I265" s="62" t="s">
        <v>2218</v>
      </c>
      <c r="J265" s="61" t="s">
        <v>250</v>
      </c>
      <c r="K265" s="4">
        <v>6971608</v>
      </c>
      <c r="L265" s="39">
        <v>104.61499999999999</v>
      </c>
      <c r="M265" s="4">
        <v>7239358</v>
      </c>
      <c r="N265" s="4">
        <v>6920000</v>
      </c>
      <c r="O265" s="4">
        <v>6947610</v>
      </c>
      <c r="P265" s="4">
        <v>0</v>
      </c>
      <c r="Q265" s="4">
        <v>-15656</v>
      </c>
      <c r="R265" s="4">
        <v>0</v>
      </c>
      <c r="S265" s="4">
        <v>0</v>
      </c>
      <c r="T265" s="23">
        <v>3</v>
      </c>
      <c r="U265" s="23">
        <v>2.758</v>
      </c>
      <c r="V265" s="5" t="s">
        <v>12</v>
      </c>
      <c r="W265" s="4">
        <v>61127</v>
      </c>
      <c r="X265" s="4">
        <v>207600</v>
      </c>
      <c r="Y265" s="11">
        <v>43553</v>
      </c>
      <c r="Z265" s="11">
        <v>44819</v>
      </c>
      <c r="AA265" s="2"/>
      <c r="AB265" s="63" t="s">
        <v>3840</v>
      </c>
      <c r="AC265" s="5" t="s">
        <v>4198</v>
      </c>
      <c r="AD265" s="2"/>
      <c r="AE265" s="9"/>
      <c r="AF265" s="23"/>
      <c r="AG265" s="9"/>
      <c r="AH265" s="5" t="s">
        <v>296</v>
      </c>
      <c r="AI265" s="5" t="s">
        <v>3107</v>
      </c>
      <c r="AJ265" s="5" t="s">
        <v>3107</v>
      </c>
      <c r="AK265" s="16" t="s">
        <v>3</v>
      </c>
      <c r="AL265" s="65" t="s">
        <v>3842</v>
      </c>
      <c r="AM265" s="31" t="s">
        <v>1351</v>
      </c>
    </row>
    <row r="266" spans="2:39" x14ac:dyDescent="0.25">
      <c r="B266" s="18" t="s">
        <v>1683</v>
      </c>
      <c r="C266" s="44" t="s">
        <v>593</v>
      </c>
      <c r="D266" s="20" t="s">
        <v>51</v>
      </c>
      <c r="E266" s="67" t="s">
        <v>3</v>
      </c>
      <c r="F266" s="51" t="s">
        <v>3</v>
      </c>
      <c r="G266" s="37" t="s">
        <v>2715</v>
      </c>
      <c r="H266" s="68" t="s">
        <v>3842</v>
      </c>
      <c r="I266" s="62" t="s">
        <v>3310</v>
      </c>
      <c r="J266" s="61" t="s">
        <v>250</v>
      </c>
      <c r="K266" s="4">
        <v>8597280</v>
      </c>
      <c r="L266" s="39">
        <v>116.27800000000001</v>
      </c>
      <c r="M266" s="4">
        <v>9302240</v>
      </c>
      <c r="N266" s="4">
        <v>8000000</v>
      </c>
      <c r="O266" s="4">
        <v>8556725</v>
      </c>
      <c r="P266" s="4">
        <v>0</v>
      </c>
      <c r="Q266" s="4">
        <v>-40555</v>
      </c>
      <c r="R266" s="4">
        <v>0</v>
      </c>
      <c r="S266" s="4">
        <v>0</v>
      </c>
      <c r="T266" s="23">
        <v>3.95</v>
      </c>
      <c r="U266" s="23">
        <v>2.8479999999999999</v>
      </c>
      <c r="V266" s="5" t="s">
        <v>3843</v>
      </c>
      <c r="W266" s="4">
        <v>76367</v>
      </c>
      <c r="X266" s="4">
        <v>158000</v>
      </c>
      <c r="Y266" s="11">
        <v>43985</v>
      </c>
      <c r="Z266" s="11">
        <v>46847</v>
      </c>
      <c r="AA266" s="2"/>
      <c r="AB266" s="63" t="s">
        <v>3840</v>
      </c>
      <c r="AC266" s="5" t="s">
        <v>4198</v>
      </c>
      <c r="AD266" s="2"/>
      <c r="AE266" s="10">
        <v>46756</v>
      </c>
      <c r="AF266" s="23">
        <v>100</v>
      </c>
      <c r="AG266" s="10">
        <v>46756</v>
      </c>
      <c r="AH266" s="5" t="s">
        <v>2021</v>
      </c>
      <c r="AI266" s="5" t="s">
        <v>297</v>
      </c>
      <c r="AJ266" s="5" t="s">
        <v>928</v>
      </c>
      <c r="AK266" s="16" t="s">
        <v>3</v>
      </c>
      <c r="AL266" s="65" t="s">
        <v>3842</v>
      </c>
      <c r="AM266" s="31" t="s">
        <v>1651</v>
      </c>
    </row>
    <row r="267" spans="2:39" x14ac:dyDescent="0.25">
      <c r="B267" s="18" t="s">
        <v>2766</v>
      </c>
      <c r="C267" s="44" t="s">
        <v>594</v>
      </c>
      <c r="D267" s="20" t="s">
        <v>1190</v>
      </c>
      <c r="E267" s="67" t="s">
        <v>3</v>
      </c>
      <c r="F267" s="51" t="s">
        <v>3</v>
      </c>
      <c r="G267" s="37" t="s">
        <v>3</v>
      </c>
      <c r="H267" s="68" t="s">
        <v>2715</v>
      </c>
      <c r="I267" s="62" t="s">
        <v>1358</v>
      </c>
      <c r="J267" s="61" t="s">
        <v>3</v>
      </c>
      <c r="K267" s="4">
        <v>4105880</v>
      </c>
      <c r="L267" s="39">
        <v>105.331</v>
      </c>
      <c r="M267" s="4">
        <v>4213240</v>
      </c>
      <c r="N267" s="4">
        <v>4000000</v>
      </c>
      <c r="O267" s="4">
        <v>4044931</v>
      </c>
      <c r="P267" s="4">
        <v>0</v>
      </c>
      <c r="Q267" s="4">
        <v>-19250</v>
      </c>
      <c r="R267" s="4">
        <v>0</v>
      </c>
      <c r="S267" s="4">
        <v>0</v>
      </c>
      <c r="T267" s="23">
        <v>3.2</v>
      </c>
      <c r="U267" s="23">
        <v>2.6789999999999998</v>
      </c>
      <c r="V267" s="5" t="s">
        <v>12</v>
      </c>
      <c r="W267" s="4">
        <v>33422</v>
      </c>
      <c r="X267" s="4">
        <v>128000</v>
      </c>
      <c r="Y267" s="11">
        <v>42991</v>
      </c>
      <c r="Z267" s="11">
        <v>45011</v>
      </c>
      <c r="AA267" s="2"/>
      <c r="AB267" s="63" t="s">
        <v>1684</v>
      </c>
      <c r="AC267" s="5" t="s">
        <v>3</v>
      </c>
      <c r="AD267" s="2"/>
      <c r="AE267" s="6"/>
      <c r="AF267" s="23"/>
      <c r="AG267" s="6"/>
      <c r="AH267" s="5" t="s">
        <v>3</v>
      </c>
      <c r="AI267" s="5" t="s">
        <v>2767</v>
      </c>
      <c r="AJ267" s="5" t="s">
        <v>2767</v>
      </c>
      <c r="AK267" s="16" t="s">
        <v>3</v>
      </c>
      <c r="AL267" s="65" t="s">
        <v>3842</v>
      </c>
      <c r="AM267" s="31" t="s">
        <v>595</v>
      </c>
    </row>
    <row r="268" spans="2:39" x14ac:dyDescent="0.25">
      <c r="B268" s="18" t="s">
        <v>4240</v>
      </c>
      <c r="C268" s="44" t="s">
        <v>2768</v>
      </c>
      <c r="D268" s="20" t="s">
        <v>2767</v>
      </c>
      <c r="E268" s="67" t="s">
        <v>3</v>
      </c>
      <c r="F268" s="51" t="s">
        <v>3</v>
      </c>
      <c r="G268" s="37" t="s">
        <v>3</v>
      </c>
      <c r="H268" s="68" t="s">
        <v>2715</v>
      </c>
      <c r="I268" s="62" t="s">
        <v>1358</v>
      </c>
      <c r="J268" s="61" t="s">
        <v>3</v>
      </c>
      <c r="K268" s="4">
        <v>3000000</v>
      </c>
      <c r="L268" s="39">
        <v>104.318</v>
      </c>
      <c r="M268" s="4">
        <v>3129540</v>
      </c>
      <c r="N268" s="4">
        <v>3000000</v>
      </c>
      <c r="O268" s="4">
        <v>3000000</v>
      </c>
      <c r="P268" s="4">
        <v>0</v>
      </c>
      <c r="Q268" s="4">
        <v>0</v>
      </c>
      <c r="R268" s="4">
        <v>0</v>
      </c>
      <c r="S268" s="4">
        <v>0</v>
      </c>
      <c r="T268" s="23">
        <v>2.38</v>
      </c>
      <c r="U268" s="23">
        <v>2.38</v>
      </c>
      <c r="V268" s="5" t="s">
        <v>3312</v>
      </c>
      <c r="W268" s="4">
        <v>6743</v>
      </c>
      <c r="X268" s="4">
        <v>35700</v>
      </c>
      <c r="Y268" s="11">
        <v>43978</v>
      </c>
      <c r="Z268" s="11">
        <v>46534</v>
      </c>
      <c r="AA268" s="2"/>
      <c r="AB268" s="63" t="s">
        <v>1684</v>
      </c>
      <c r="AC268" s="5" t="s">
        <v>3</v>
      </c>
      <c r="AD268" s="2"/>
      <c r="AE268" s="9"/>
      <c r="AF268" s="23"/>
      <c r="AG268" s="6"/>
      <c r="AH268" s="5" t="s">
        <v>3</v>
      </c>
      <c r="AI268" s="5" t="s">
        <v>2767</v>
      </c>
      <c r="AJ268" s="5" t="s">
        <v>3</v>
      </c>
      <c r="AK268" s="16" t="s">
        <v>3</v>
      </c>
      <c r="AL268" s="65" t="s">
        <v>3842</v>
      </c>
      <c r="AM268" s="31" t="s">
        <v>595</v>
      </c>
    </row>
    <row r="269" spans="2:39" x14ac:dyDescent="0.25">
      <c r="B269" s="18" t="s">
        <v>945</v>
      </c>
      <c r="C269" s="44" t="s">
        <v>3885</v>
      </c>
      <c r="D269" s="20" t="s">
        <v>3886</v>
      </c>
      <c r="E269" s="67" t="s">
        <v>3</v>
      </c>
      <c r="F269" s="51" t="s">
        <v>3</v>
      </c>
      <c r="G269" s="37" t="s">
        <v>2715</v>
      </c>
      <c r="H269" s="68" t="s">
        <v>3842</v>
      </c>
      <c r="I269" s="62" t="s">
        <v>10</v>
      </c>
      <c r="J269" s="61" t="s">
        <v>250</v>
      </c>
      <c r="K269" s="4">
        <v>5008000</v>
      </c>
      <c r="L269" s="39">
        <v>106.949</v>
      </c>
      <c r="M269" s="4">
        <v>5347450</v>
      </c>
      <c r="N269" s="4">
        <v>5000000</v>
      </c>
      <c r="O269" s="4">
        <v>5007176</v>
      </c>
      <c r="P269" s="4">
        <v>0</v>
      </c>
      <c r="Q269" s="4">
        <v>-3504</v>
      </c>
      <c r="R269" s="4">
        <v>0</v>
      </c>
      <c r="S269" s="4">
        <v>0</v>
      </c>
      <c r="T269" s="23">
        <v>3.7</v>
      </c>
      <c r="U269" s="23">
        <v>3.6240000000000001</v>
      </c>
      <c r="V269" s="5" t="s">
        <v>12</v>
      </c>
      <c r="W269" s="4">
        <v>57556</v>
      </c>
      <c r="X269" s="4">
        <v>185000</v>
      </c>
      <c r="Y269" s="11">
        <v>43553</v>
      </c>
      <c r="Z269" s="11">
        <v>44994</v>
      </c>
      <c r="AA269" s="2"/>
      <c r="AB269" s="63" t="s">
        <v>3840</v>
      </c>
      <c r="AC269" s="5" t="s">
        <v>4198</v>
      </c>
      <c r="AD269" s="2"/>
      <c r="AE269" s="11">
        <v>44966</v>
      </c>
      <c r="AF269" s="23">
        <v>100</v>
      </c>
      <c r="AG269" s="11">
        <v>44966</v>
      </c>
      <c r="AH269" s="5" t="s">
        <v>946</v>
      </c>
      <c r="AI269" s="5" t="s">
        <v>3886</v>
      </c>
      <c r="AJ269" s="5" t="s">
        <v>3</v>
      </c>
      <c r="AK269" s="16" t="s">
        <v>3</v>
      </c>
      <c r="AL269" s="65" t="s">
        <v>3842</v>
      </c>
      <c r="AM269" s="31" t="s">
        <v>1176</v>
      </c>
    </row>
    <row r="270" spans="2:39" x14ac:dyDescent="0.25">
      <c r="B270" s="18" t="s">
        <v>2022</v>
      </c>
      <c r="C270" s="44" t="s">
        <v>2023</v>
      </c>
      <c r="D270" s="20" t="s">
        <v>3886</v>
      </c>
      <c r="E270" s="67" t="s">
        <v>3</v>
      </c>
      <c r="F270" s="51" t="s">
        <v>3</v>
      </c>
      <c r="G270" s="37" t="s">
        <v>2715</v>
      </c>
      <c r="H270" s="68" t="s">
        <v>3842</v>
      </c>
      <c r="I270" s="62" t="s">
        <v>10</v>
      </c>
      <c r="J270" s="61" t="s">
        <v>250</v>
      </c>
      <c r="K270" s="4">
        <v>4951050</v>
      </c>
      <c r="L270" s="39">
        <v>113.422</v>
      </c>
      <c r="M270" s="4">
        <v>5671100</v>
      </c>
      <c r="N270" s="4">
        <v>5000000</v>
      </c>
      <c r="O270" s="4">
        <v>4968935</v>
      </c>
      <c r="P270" s="4">
        <v>0</v>
      </c>
      <c r="Q270" s="4">
        <v>6566</v>
      </c>
      <c r="R270" s="4">
        <v>0</v>
      </c>
      <c r="S270" s="4">
        <v>0</v>
      </c>
      <c r="T270" s="23">
        <v>4.0999999999999996</v>
      </c>
      <c r="U270" s="23">
        <v>4.2619999999999996</v>
      </c>
      <c r="V270" s="5" t="s">
        <v>12</v>
      </c>
      <c r="W270" s="4">
        <v>54667</v>
      </c>
      <c r="X270" s="4">
        <v>205000</v>
      </c>
      <c r="Y270" s="11">
        <v>43165</v>
      </c>
      <c r="Z270" s="11">
        <v>45741</v>
      </c>
      <c r="AA270" s="2"/>
      <c r="AB270" s="63" t="s">
        <v>3840</v>
      </c>
      <c r="AC270" s="5" t="s">
        <v>4198</v>
      </c>
      <c r="AD270" s="2"/>
      <c r="AE270" s="11">
        <v>44951</v>
      </c>
      <c r="AF270" s="23">
        <v>100</v>
      </c>
      <c r="AG270" s="6"/>
      <c r="AH270" s="5" t="s">
        <v>946</v>
      </c>
      <c r="AI270" s="5" t="s">
        <v>3886</v>
      </c>
      <c r="AJ270" s="5" t="s">
        <v>3</v>
      </c>
      <c r="AK270" s="16" t="s">
        <v>3</v>
      </c>
      <c r="AL270" s="65" t="s">
        <v>3842</v>
      </c>
      <c r="AM270" s="31" t="s">
        <v>1176</v>
      </c>
    </row>
    <row r="271" spans="2:39" x14ac:dyDescent="0.25">
      <c r="B271" s="18" t="s">
        <v>3108</v>
      </c>
      <c r="C271" s="44" t="s">
        <v>3577</v>
      </c>
      <c r="D271" s="20" t="s">
        <v>3886</v>
      </c>
      <c r="E271" s="67" t="s">
        <v>3</v>
      </c>
      <c r="F271" s="51" t="s">
        <v>3</v>
      </c>
      <c r="G271" s="37" t="s">
        <v>2715</v>
      </c>
      <c r="H271" s="68" t="s">
        <v>3842</v>
      </c>
      <c r="I271" s="62" t="s">
        <v>10</v>
      </c>
      <c r="J271" s="61" t="s">
        <v>250</v>
      </c>
      <c r="K271" s="4">
        <v>1498305</v>
      </c>
      <c r="L271" s="39">
        <v>110.77500000000001</v>
      </c>
      <c r="M271" s="4">
        <v>1661625</v>
      </c>
      <c r="N271" s="4">
        <v>1500000</v>
      </c>
      <c r="O271" s="4">
        <v>1498611</v>
      </c>
      <c r="P271" s="4">
        <v>0</v>
      </c>
      <c r="Q271" s="4">
        <v>223</v>
      </c>
      <c r="R271" s="4">
        <v>0</v>
      </c>
      <c r="S271" s="4">
        <v>0</v>
      </c>
      <c r="T271" s="23">
        <v>3</v>
      </c>
      <c r="U271" s="23">
        <v>3.0179999999999998</v>
      </c>
      <c r="V271" s="5" t="s">
        <v>248</v>
      </c>
      <c r="W271" s="4">
        <v>17000</v>
      </c>
      <c r="X271" s="4">
        <v>45000</v>
      </c>
      <c r="Y271" s="11">
        <v>43685</v>
      </c>
      <c r="Z271" s="11">
        <v>46249</v>
      </c>
      <c r="AA271" s="2"/>
      <c r="AB271" s="63" t="s">
        <v>3840</v>
      </c>
      <c r="AC271" s="5" t="s">
        <v>4198</v>
      </c>
      <c r="AD271" s="2"/>
      <c r="AE271" s="11">
        <v>46188</v>
      </c>
      <c r="AF271" s="23">
        <v>100</v>
      </c>
      <c r="AG271" s="9"/>
      <c r="AH271" s="5" t="s">
        <v>946</v>
      </c>
      <c r="AI271" s="5" t="s">
        <v>3886</v>
      </c>
      <c r="AJ271" s="5" t="s">
        <v>3</v>
      </c>
      <c r="AK271" s="16" t="s">
        <v>3</v>
      </c>
      <c r="AL271" s="65" t="s">
        <v>3842</v>
      </c>
      <c r="AM271" s="31" t="s">
        <v>1176</v>
      </c>
    </row>
    <row r="272" spans="2:39" x14ac:dyDescent="0.25">
      <c r="B272" s="18" t="s">
        <v>4241</v>
      </c>
      <c r="C272" s="44" t="s">
        <v>52</v>
      </c>
      <c r="D272" s="20" t="s">
        <v>596</v>
      </c>
      <c r="E272" s="67" t="s">
        <v>3</v>
      </c>
      <c r="F272" s="51" t="s">
        <v>3</v>
      </c>
      <c r="G272" s="37" t="s">
        <v>2715</v>
      </c>
      <c r="H272" s="68" t="s">
        <v>3842</v>
      </c>
      <c r="I272" s="62" t="s">
        <v>1157</v>
      </c>
      <c r="J272" s="61" t="s">
        <v>250</v>
      </c>
      <c r="K272" s="4">
        <v>5979690</v>
      </c>
      <c r="L272" s="39">
        <v>112.78700000000001</v>
      </c>
      <c r="M272" s="4">
        <v>6767220</v>
      </c>
      <c r="N272" s="4">
        <v>6000000</v>
      </c>
      <c r="O272" s="4">
        <v>5987123</v>
      </c>
      <c r="P272" s="4">
        <v>0</v>
      </c>
      <c r="Q272" s="4">
        <v>2759</v>
      </c>
      <c r="R272" s="4">
        <v>0</v>
      </c>
      <c r="S272" s="4">
        <v>0</v>
      </c>
      <c r="T272" s="23">
        <v>3.95</v>
      </c>
      <c r="U272" s="23">
        <v>4.0060000000000002</v>
      </c>
      <c r="V272" s="5" t="s">
        <v>12</v>
      </c>
      <c r="W272" s="4">
        <v>69783</v>
      </c>
      <c r="X272" s="4">
        <v>237000</v>
      </c>
      <c r="Y272" s="11">
        <v>43172</v>
      </c>
      <c r="Z272" s="11">
        <v>45731</v>
      </c>
      <c r="AA272" s="2"/>
      <c r="AB272" s="63" t="s">
        <v>3840</v>
      </c>
      <c r="AC272" s="5" t="s">
        <v>4198</v>
      </c>
      <c r="AD272" s="2"/>
      <c r="AE272" s="11">
        <v>45672</v>
      </c>
      <c r="AF272" s="23">
        <v>100</v>
      </c>
      <c r="AG272" s="9"/>
      <c r="AH272" s="5" t="s">
        <v>298</v>
      </c>
      <c r="AI272" s="5" t="s">
        <v>596</v>
      </c>
      <c r="AJ272" s="5" t="s">
        <v>3</v>
      </c>
      <c r="AK272" s="16" t="s">
        <v>3</v>
      </c>
      <c r="AL272" s="65" t="s">
        <v>3842</v>
      </c>
      <c r="AM272" s="31" t="s">
        <v>926</v>
      </c>
    </row>
    <row r="273" spans="2:39" x14ac:dyDescent="0.25">
      <c r="B273" s="18" t="s">
        <v>947</v>
      </c>
      <c r="C273" s="44" t="s">
        <v>1685</v>
      </c>
      <c r="D273" s="20" t="s">
        <v>4242</v>
      </c>
      <c r="E273" s="67" t="s">
        <v>3</v>
      </c>
      <c r="F273" s="51" t="s">
        <v>3</v>
      </c>
      <c r="G273" s="37" t="s">
        <v>3842</v>
      </c>
      <c r="H273" s="68" t="s">
        <v>3842</v>
      </c>
      <c r="I273" s="62" t="s">
        <v>1157</v>
      </c>
      <c r="J273" s="61" t="s">
        <v>250</v>
      </c>
      <c r="K273" s="4">
        <v>4790200</v>
      </c>
      <c r="L273" s="39">
        <v>114.01</v>
      </c>
      <c r="M273" s="4">
        <v>5700500</v>
      </c>
      <c r="N273" s="4">
        <v>5000000</v>
      </c>
      <c r="O273" s="4">
        <v>4844496</v>
      </c>
      <c r="P273" s="4">
        <v>0</v>
      </c>
      <c r="Q273" s="4">
        <v>27895</v>
      </c>
      <c r="R273" s="4">
        <v>0</v>
      </c>
      <c r="S273" s="4">
        <v>0</v>
      </c>
      <c r="T273" s="23">
        <v>4.2</v>
      </c>
      <c r="U273" s="23">
        <v>4.9320000000000004</v>
      </c>
      <c r="V273" s="5" t="s">
        <v>3843</v>
      </c>
      <c r="W273" s="4">
        <v>36167</v>
      </c>
      <c r="X273" s="4">
        <v>210000</v>
      </c>
      <c r="Y273" s="11">
        <v>43469</v>
      </c>
      <c r="Z273" s="11">
        <v>45959</v>
      </c>
      <c r="AA273" s="2"/>
      <c r="AB273" s="63" t="s">
        <v>3840</v>
      </c>
      <c r="AC273" s="5" t="s">
        <v>4198</v>
      </c>
      <c r="AD273" s="2"/>
      <c r="AE273" s="11">
        <v>45929</v>
      </c>
      <c r="AF273" s="23">
        <v>100</v>
      </c>
      <c r="AG273" s="6"/>
      <c r="AH273" s="5" t="s">
        <v>4243</v>
      </c>
      <c r="AI273" s="5" t="s">
        <v>2024</v>
      </c>
      <c r="AJ273" s="5" t="s">
        <v>2473</v>
      </c>
      <c r="AK273" s="16" t="s">
        <v>3</v>
      </c>
      <c r="AL273" s="65" t="s">
        <v>929</v>
      </c>
      <c r="AM273" s="31" t="s">
        <v>926</v>
      </c>
    </row>
    <row r="274" spans="2:39" x14ac:dyDescent="0.25">
      <c r="B274" s="18" t="s">
        <v>2474</v>
      </c>
      <c r="C274" s="44" t="s">
        <v>2025</v>
      </c>
      <c r="D274" s="20" t="s">
        <v>4242</v>
      </c>
      <c r="E274" s="67" t="s">
        <v>3</v>
      </c>
      <c r="F274" s="51" t="s">
        <v>3</v>
      </c>
      <c r="G274" s="37" t="s">
        <v>3842</v>
      </c>
      <c r="H274" s="68" t="s">
        <v>3842</v>
      </c>
      <c r="I274" s="62" t="s">
        <v>3310</v>
      </c>
      <c r="J274" s="61" t="s">
        <v>250</v>
      </c>
      <c r="K274" s="4">
        <v>2999820</v>
      </c>
      <c r="L274" s="39">
        <v>114.304</v>
      </c>
      <c r="M274" s="4">
        <v>3429120</v>
      </c>
      <c r="N274" s="4">
        <v>3000000</v>
      </c>
      <c r="O274" s="4">
        <v>2999883</v>
      </c>
      <c r="P274" s="4">
        <v>0</v>
      </c>
      <c r="Q274" s="4">
        <v>24</v>
      </c>
      <c r="R274" s="4">
        <v>0</v>
      </c>
      <c r="S274" s="4">
        <v>0</v>
      </c>
      <c r="T274" s="23">
        <v>4.25</v>
      </c>
      <c r="U274" s="23">
        <v>4.2510000000000003</v>
      </c>
      <c r="V274" s="5" t="s">
        <v>3843</v>
      </c>
      <c r="W274" s="4">
        <v>21604</v>
      </c>
      <c r="X274" s="4">
        <v>127500</v>
      </c>
      <c r="Y274" s="11">
        <v>43216</v>
      </c>
      <c r="Z274" s="11">
        <v>45777</v>
      </c>
      <c r="AA274" s="2"/>
      <c r="AB274" s="63" t="s">
        <v>3840</v>
      </c>
      <c r="AC274" s="5" t="s">
        <v>4198</v>
      </c>
      <c r="AD274" s="2"/>
      <c r="AE274" s="11">
        <v>45747</v>
      </c>
      <c r="AF274" s="23">
        <v>100</v>
      </c>
      <c r="AG274" s="6"/>
      <c r="AH274" s="5" t="s">
        <v>4243</v>
      </c>
      <c r="AI274" s="5" t="s">
        <v>2024</v>
      </c>
      <c r="AJ274" s="5" t="s">
        <v>3578</v>
      </c>
      <c r="AK274" s="16" t="s">
        <v>3</v>
      </c>
      <c r="AL274" s="65" t="s">
        <v>3842</v>
      </c>
      <c r="AM274" s="31" t="s">
        <v>1651</v>
      </c>
    </row>
    <row r="275" spans="2:39" x14ac:dyDescent="0.25">
      <c r="B275" s="18" t="s">
        <v>3579</v>
      </c>
      <c r="C275" s="44" t="s">
        <v>4244</v>
      </c>
      <c r="D275" s="20" t="s">
        <v>1375</v>
      </c>
      <c r="E275" s="67" t="s">
        <v>3</v>
      </c>
      <c r="F275" s="51" t="s">
        <v>3</v>
      </c>
      <c r="G275" s="37" t="s">
        <v>3842</v>
      </c>
      <c r="H275" s="68" t="s">
        <v>3842</v>
      </c>
      <c r="I275" s="62" t="s">
        <v>3310</v>
      </c>
      <c r="J275" s="61" t="s">
        <v>250</v>
      </c>
      <c r="K275" s="4">
        <v>6981573</v>
      </c>
      <c r="L275" s="39">
        <v>101.22199999999999</v>
      </c>
      <c r="M275" s="4">
        <v>7085540</v>
      </c>
      <c r="N275" s="4">
        <v>7000000</v>
      </c>
      <c r="O275" s="4">
        <v>6998271</v>
      </c>
      <c r="P275" s="4">
        <v>0</v>
      </c>
      <c r="Q275" s="4">
        <v>3014</v>
      </c>
      <c r="R275" s="4">
        <v>0</v>
      </c>
      <c r="S275" s="4">
        <v>0</v>
      </c>
      <c r="T275" s="23">
        <v>2.95</v>
      </c>
      <c r="U275" s="23">
        <v>2.9950000000000001</v>
      </c>
      <c r="V275" s="5" t="s">
        <v>1982</v>
      </c>
      <c r="W275" s="4">
        <v>90631</v>
      </c>
      <c r="X275" s="4">
        <v>206500</v>
      </c>
      <c r="Y275" s="11">
        <v>42277</v>
      </c>
      <c r="Z275" s="11">
        <v>44400</v>
      </c>
      <c r="AA275" s="2"/>
      <c r="AB275" s="63" t="s">
        <v>3840</v>
      </c>
      <c r="AC275" s="5" t="s">
        <v>4198</v>
      </c>
      <c r="AD275" s="2"/>
      <c r="AE275" s="10">
        <v>44370</v>
      </c>
      <c r="AF275" s="23">
        <v>100</v>
      </c>
      <c r="AG275" s="6"/>
      <c r="AH275" s="5" t="s">
        <v>4245</v>
      </c>
      <c r="AI275" s="5" t="s">
        <v>2769</v>
      </c>
      <c r="AJ275" s="5" t="s">
        <v>53</v>
      </c>
      <c r="AK275" s="16" t="s">
        <v>3</v>
      </c>
      <c r="AL275" s="65" t="s">
        <v>3842</v>
      </c>
      <c r="AM275" s="31" t="s">
        <v>1651</v>
      </c>
    </row>
    <row r="276" spans="2:39" x14ac:dyDescent="0.25">
      <c r="B276" s="18" t="s">
        <v>299</v>
      </c>
      <c r="C276" s="44" t="s">
        <v>54</v>
      </c>
      <c r="D276" s="20" t="s">
        <v>2026</v>
      </c>
      <c r="E276" s="67" t="s">
        <v>3</v>
      </c>
      <c r="F276" s="51" t="s">
        <v>3</v>
      </c>
      <c r="G276" s="37" t="s">
        <v>2715</v>
      </c>
      <c r="H276" s="68" t="s">
        <v>3842</v>
      </c>
      <c r="I276" s="62" t="s">
        <v>10</v>
      </c>
      <c r="J276" s="61" t="s">
        <v>250</v>
      </c>
      <c r="K276" s="4">
        <v>2422526</v>
      </c>
      <c r="L276" s="39">
        <v>109.53700000000001</v>
      </c>
      <c r="M276" s="4">
        <v>2771286</v>
      </c>
      <c r="N276" s="4">
        <v>2530000</v>
      </c>
      <c r="O276" s="4">
        <v>2457552</v>
      </c>
      <c r="P276" s="4">
        <v>0</v>
      </c>
      <c r="Q276" s="4">
        <v>16850</v>
      </c>
      <c r="R276" s="4">
        <v>0</v>
      </c>
      <c r="S276" s="4">
        <v>0</v>
      </c>
      <c r="T276" s="23">
        <v>3.5</v>
      </c>
      <c r="U276" s="23">
        <v>4.3109999999999999</v>
      </c>
      <c r="V276" s="5" t="s">
        <v>3312</v>
      </c>
      <c r="W276" s="4">
        <v>11315</v>
      </c>
      <c r="X276" s="4">
        <v>88550</v>
      </c>
      <c r="Y276" s="11">
        <v>43417</v>
      </c>
      <c r="Z276" s="11">
        <v>45611</v>
      </c>
      <c r="AA276" s="2"/>
      <c r="AB276" s="63" t="s">
        <v>3840</v>
      </c>
      <c r="AC276" s="5" t="s">
        <v>4198</v>
      </c>
      <c r="AD276" s="2"/>
      <c r="AE276" s="10">
        <v>45519</v>
      </c>
      <c r="AF276" s="23">
        <v>100</v>
      </c>
      <c r="AG276" s="6"/>
      <c r="AH276" s="5" t="s">
        <v>4246</v>
      </c>
      <c r="AI276" s="5" t="s">
        <v>2026</v>
      </c>
      <c r="AJ276" s="5" t="s">
        <v>3</v>
      </c>
      <c r="AK276" s="16" t="s">
        <v>3</v>
      </c>
      <c r="AL276" s="65" t="s">
        <v>3842</v>
      </c>
      <c r="AM276" s="31" t="s">
        <v>1176</v>
      </c>
    </row>
    <row r="277" spans="2:39" x14ac:dyDescent="0.25">
      <c r="B277" s="18" t="s">
        <v>1376</v>
      </c>
      <c r="C277" s="44" t="s">
        <v>948</v>
      </c>
      <c r="D277" s="20" t="s">
        <v>2026</v>
      </c>
      <c r="E277" s="67" t="s">
        <v>3</v>
      </c>
      <c r="F277" s="51" t="s">
        <v>3</v>
      </c>
      <c r="G277" s="37" t="s">
        <v>2715</v>
      </c>
      <c r="H277" s="68" t="s">
        <v>3842</v>
      </c>
      <c r="I277" s="62" t="s">
        <v>10</v>
      </c>
      <c r="J277" s="61" t="s">
        <v>250</v>
      </c>
      <c r="K277" s="4">
        <v>5185665</v>
      </c>
      <c r="L277" s="39">
        <v>107.556</v>
      </c>
      <c r="M277" s="4">
        <v>5915580</v>
      </c>
      <c r="N277" s="4">
        <v>5500000</v>
      </c>
      <c r="O277" s="4">
        <v>5294865</v>
      </c>
      <c r="P277" s="4">
        <v>0</v>
      </c>
      <c r="Q277" s="4">
        <v>54014</v>
      </c>
      <c r="R277" s="4">
        <v>0</v>
      </c>
      <c r="S277" s="4">
        <v>0</v>
      </c>
      <c r="T277" s="23">
        <v>3.0790000000000002</v>
      </c>
      <c r="U277" s="23">
        <v>4.2510000000000003</v>
      </c>
      <c r="V277" s="5" t="s">
        <v>3844</v>
      </c>
      <c r="W277" s="4">
        <v>7526</v>
      </c>
      <c r="X277" s="4">
        <v>169345</v>
      </c>
      <c r="Y277" s="11">
        <v>43452</v>
      </c>
      <c r="Z277" s="11">
        <v>45458</v>
      </c>
      <c r="AA277" s="2"/>
      <c r="AB277" s="63" t="s">
        <v>3840</v>
      </c>
      <c r="AC277" s="5" t="s">
        <v>4198</v>
      </c>
      <c r="AD277" s="2"/>
      <c r="AE277" s="10">
        <v>45397</v>
      </c>
      <c r="AF277" s="23">
        <v>100</v>
      </c>
      <c r="AG277" s="6"/>
      <c r="AH277" s="5" t="s">
        <v>4246</v>
      </c>
      <c r="AI277" s="5" t="s">
        <v>2026</v>
      </c>
      <c r="AJ277" s="5" t="s">
        <v>3</v>
      </c>
      <c r="AK277" s="16" t="s">
        <v>3</v>
      </c>
      <c r="AL277" s="65" t="s">
        <v>3842</v>
      </c>
      <c r="AM277" s="31" t="s">
        <v>1176</v>
      </c>
    </row>
    <row r="278" spans="2:39" x14ac:dyDescent="0.25">
      <c r="B278" s="18" t="s">
        <v>2475</v>
      </c>
      <c r="C278" s="44" t="s">
        <v>2254</v>
      </c>
      <c r="D278" s="20" t="s">
        <v>2476</v>
      </c>
      <c r="E278" s="67" t="s">
        <v>3</v>
      </c>
      <c r="F278" s="51" t="s">
        <v>3</v>
      </c>
      <c r="G278" s="37" t="s">
        <v>2715</v>
      </c>
      <c r="H278" s="68" t="s">
        <v>2715</v>
      </c>
      <c r="I278" s="62" t="s">
        <v>252</v>
      </c>
      <c r="J278" s="61" t="s">
        <v>250</v>
      </c>
      <c r="K278" s="4">
        <v>2996280</v>
      </c>
      <c r="L278" s="39">
        <v>106.17</v>
      </c>
      <c r="M278" s="4">
        <v>3185100</v>
      </c>
      <c r="N278" s="4">
        <v>3000000</v>
      </c>
      <c r="O278" s="4">
        <v>2998314</v>
      </c>
      <c r="P278" s="4">
        <v>0</v>
      </c>
      <c r="Q278" s="4">
        <v>739</v>
      </c>
      <c r="R278" s="4">
        <v>0</v>
      </c>
      <c r="S278" s="4">
        <v>0</v>
      </c>
      <c r="T278" s="23">
        <v>3.25</v>
      </c>
      <c r="U278" s="23">
        <v>3.2770000000000001</v>
      </c>
      <c r="V278" s="5" t="s">
        <v>12</v>
      </c>
      <c r="W278" s="4">
        <v>32500</v>
      </c>
      <c r="X278" s="4">
        <v>97500</v>
      </c>
      <c r="Y278" s="11">
        <v>43157</v>
      </c>
      <c r="Z278" s="11">
        <v>44986</v>
      </c>
      <c r="AA278" s="2"/>
      <c r="AB278" s="63" t="s">
        <v>3840</v>
      </c>
      <c r="AC278" s="5" t="s">
        <v>4198</v>
      </c>
      <c r="AD278" s="2"/>
      <c r="AE278" s="6"/>
      <c r="AF278" s="23"/>
      <c r="AG278" s="6"/>
      <c r="AH278" s="5" t="s">
        <v>300</v>
      </c>
      <c r="AI278" s="5" t="s">
        <v>2477</v>
      </c>
      <c r="AJ278" s="5" t="s">
        <v>928</v>
      </c>
      <c r="AK278" s="16" t="s">
        <v>3</v>
      </c>
      <c r="AL278" s="65" t="s">
        <v>3842</v>
      </c>
      <c r="AM278" s="31" t="s">
        <v>898</v>
      </c>
    </row>
    <row r="279" spans="2:39" x14ac:dyDescent="0.25">
      <c r="B279" s="18" t="s">
        <v>3580</v>
      </c>
      <c r="C279" s="44" t="s">
        <v>55</v>
      </c>
      <c r="D279" s="20" t="s">
        <v>3109</v>
      </c>
      <c r="E279" s="67" t="s">
        <v>3</v>
      </c>
      <c r="F279" s="51" t="s">
        <v>3</v>
      </c>
      <c r="G279" s="37" t="s">
        <v>2715</v>
      </c>
      <c r="H279" s="68" t="s">
        <v>3842</v>
      </c>
      <c r="I279" s="62" t="s">
        <v>1157</v>
      </c>
      <c r="J279" s="61" t="s">
        <v>250</v>
      </c>
      <c r="K279" s="4">
        <v>9403116</v>
      </c>
      <c r="L279" s="39">
        <v>107.869</v>
      </c>
      <c r="M279" s="4">
        <v>10247555</v>
      </c>
      <c r="N279" s="4">
        <v>9500000</v>
      </c>
      <c r="O279" s="4">
        <v>9403987</v>
      </c>
      <c r="P279" s="4">
        <v>0</v>
      </c>
      <c r="Q279" s="4">
        <v>871</v>
      </c>
      <c r="R279" s="4">
        <v>0</v>
      </c>
      <c r="S279" s="4">
        <v>0</v>
      </c>
      <c r="T279" s="23">
        <v>2.4929999999999999</v>
      </c>
      <c r="U279" s="23">
        <v>2.6720000000000002</v>
      </c>
      <c r="V279" s="5" t="s">
        <v>248</v>
      </c>
      <c r="W279" s="4">
        <v>89471</v>
      </c>
      <c r="X279" s="4">
        <v>0</v>
      </c>
      <c r="Y279" s="11">
        <v>44175</v>
      </c>
      <c r="Z279" s="11">
        <v>46433</v>
      </c>
      <c r="AA279" s="2"/>
      <c r="AB279" s="63" t="s">
        <v>3840</v>
      </c>
      <c r="AC279" s="5" t="s">
        <v>4198</v>
      </c>
      <c r="AD279" s="2"/>
      <c r="AE279" s="10">
        <v>46371</v>
      </c>
      <c r="AF279" s="23">
        <v>100</v>
      </c>
      <c r="AG279" s="6"/>
      <c r="AH279" s="5" t="s">
        <v>3</v>
      </c>
      <c r="AI279" s="5" t="s">
        <v>3109</v>
      </c>
      <c r="AJ279" s="5" t="s">
        <v>3</v>
      </c>
      <c r="AK279" s="16" t="s">
        <v>3</v>
      </c>
      <c r="AL279" s="65" t="s">
        <v>3842</v>
      </c>
      <c r="AM279" s="31" t="s">
        <v>926</v>
      </c>
    </row>
    <row r="280" spans="2:39" x14ac:dyDescent="0.25">
      <c r="B280" s="18" t="s">
        <v>301</v>
      </c>
      <c r="C280" s="44" t="s">
        <v>2770</v>
      </c>
      <c r="D280" s="20" t="s">
        <v>56</v>
      </c>
      <c r="E280" s="67" t="s">
        <v>3</v>
      </c>
      <c r="F280" s="51" t="s">
        <v>3</v>
      </c>
      <c r="G280" s="37" t="s">
        <v>2715</v>
      </c>
      <c r="H280" s="68" t="s">
        <v>2715</v>
      </c>
      <c r="I280" s="62" t="s">
        <v>252</v>
      </c>
      <c r="J280" s="61" t="s">
        <v>250</v>
      </c>
      <c r="K280" s="4">
        <v>4996600</v>
      </c>
      <c r="L280" s="39">
        <v>107.288</v>
      </c>
      <c r="M280" s="4">
        <v>5364400</v>
      </c>
      <c r="N280" s="4">
        <v>5000000</v>
      </c>
      <c r="O280" s="4">
        <v>4998312</v>
      </c>
      <c r="P280" s="4">
        <v>0</v>
      </c>
      <c r="Q280" s="4">
        <v>672</v>
      </c>
      <c r="R280" s="4">
        <v>0</v>
      </c>
      <c r="S280" s="4">
        <v>0</v>
      </c>
      <c r="T280" s="23">
        <v>3.45</v>
      </c>
      <c r="U280" s="23">
        <v>3.4649999999999999</v>
      </c>
      <c r="V280" s="5" t="s">
        <v>3312</v>
      </c>
      <c r="W280" s="4">
        <v>22042</v>
      </c>
      <c r="X280" s="4">
        <v>172500</v>
      </c>
      <c r="Y280" s="11">
        <v>43229</v>
      </c>
      <c r="Z280" s="11">
        <v>45061</v>
      </c>
      <c r="AA280" s="2"/>
      <c r="AB280" s="63" t="s">
        <v>3840</v>
      </c>
      <c r="AC280" s="5" t="s">
        <v>4198</v>
      </c>
      <c r="AD280" s="2"/>
      <c r="AE280" s="6"/>
      <c r="AF280" s="23"/>
      <c r="AG280" s="6"/>
      <c r="AH280" s="5" t="s">
        <v>2255</v>
      </c>
      <c r="AI280" s="5" t="s">
        <v>3110</v>
      </c>
      <c r="AJ280" s="5" t="s">
        <v>3110</v>
      </c>
      <c r="AK280" s="16" t="s">
        <v>3</v>
      </c>
      <c r="AL280" s="65" t="s">
        <v>3842</v>
      </c>
      <c r="AM280" s="31" t="s">
        <v>898</v>
      </c>
    </row>
    <row r="281" spans="2:39" x14ac:dyDescent="0.25">
      <c r="B281" s="18" t="s">
        <v>1377</v>
      </c>
      <c r="C281" s="44" t="s">
        <v>2027</v>
      </c>
      <c r="D281" s="20" t="s">
        <v>56</v>
      </c>
      <c r="E281" s="67" t="s">
        <v>3</v>
      </c>
      <c r="F281" s="51" t="s">
        <v>3</v>
      </c>
      <c r="G281" s="37" t="s">
        <v>2715</v>
      </c>
      <c r="H281" s="68" t="s">
        <v>2715</v>
      </c>
      <c r="I281" s="62" t="s">
        <v>252</v>
      </c>
      <c r="J281" s="61" t="s">
        <v>250</v>
      </c>
      <c r="K281" s="4">
        <v>4997500</v>
      </c>
      <c r="L281" s="39">
        <v>109.726</v>
      </c>
      <c r="M281" s="4">
        <v>5486300</v>
      </c>
      <c r="N281" s="4">
        <v>5000000</v>
      </c>
      <c r="O281" s="4">
        <v>4998479</v>
      </c>
      <c r="P281" s="4">
        <v>0</v>
      </c>
      <c r="Q281" s="4">
        <v>483</v>
      </c>
      <c r="R281" s="4">
        <v>0</v>
      </c>
      <c r="S281" s="4">
        <v>0</v>
      </c>
      <c r="T281" s="23">
        <v>3.65</v>
      </c>
      <c r="U281" s="23">
        <v>3.661</v>
      </c>
      <c r="V281" s="5" t="s">
        <v>3844</v>
      </c>
      <c r="W281" s="4">
        <v>12167</v>
      </c>
      <c r="X281" s="4">
        <v>182500</v>
      </c>
      <c r="Y281" s="11">
        <v>43437</v>
      </c>
      <c r="Z281" s="11">
        <v>45267</v>
      </c>
      <c r="AA281" s="2"/>
      <c r="AB281" s="63" t="s">
        <v>3840</v>
      </c>
      <c r="AC281" s="5" t="s">
        <v>4198</v>
      </c>
      <c r="AD281" s="2"/>
      <c r="AE281" s="6"/>
      <c r="AF281" s="23"/>
      <c r="AG281" s="6"/>
      <c r="AH281" s="5" t="s">
        <v>2255</v>
      </c>
      <c r="AI281" s="5" t="s">
        <v>3110</v>
      </c>
      <c r="AJ281" s="5" t="s">
        <v>3110</v>
      </c>
      <c r="AK281" s="16" t="s">
        <v>3</v>
      </c>
      <c r="AL281" s="65" t="s">
        <v>3842</v>
      </c>
      <c r="AM281" s="31" t="s">
        <v>898</v>
      </c>
    </row>
    <row r="282" spans="2:39" x14ac:dyDescent="0.25">
      <c r="B282" s="18" t="s">
        <v>2771</v>
      </c>
      <c r="C282" s="44" t="s">
        <v>949</v>
      </c>
      <c r="D282" s="20" t="s">
        <v>56</v>
      </c>
      <c r="E282" s="67" t="s">
        <v>3</v>
      </c>
      <c r="F282" s="51" t="s">
        <v>3</v>
      </c>
      <c r="G282" s="37" t="s">
        <v>2715</v>
      </c>
      <c r="H282" s="68" t="s">
        <v>2715</v>
      </c>
      <c r="I282" s="62" t="s">
        <v>252</v>
      </c>
      <c r="J282" s="61" t="s">
        <v>250</v>
      </c>
      <c r="K282" s="4">
        <v>3991480</v>
      </c>
      <c r="L282" s="39">
        <v>107.771</v>
      </c>
      <c r="M282" s="4">
        <v>4310840</v>
      </c>
      <c r="N282" s="4">
        <v>4000000</v>
      </c>
      <c r="O282" s="4">
        <v>3994112</v>
      </c>
      <c r="P282" s="4">
        <v>0</v>
      </c>
      <c r="Q282" s="4">
        <v>1636</v>
      </c>
      <c r="R282" s="4">
        <v>0</v>
      </c>
      <c r="S282" s="4">
        <v>0</v>
      </c>
      <c r="T282" s="23">
        <v>2.85</v>
      </c>
      <c r="U282" s="23">
        <v>2.8959999999999999</v>
      </c>
      <c r="V282" s="5" t="s">
        <v>3312</v>
      </c>
      <c r="W282" s="4">
        <v>13933</v>
      </c>
      <c r="X282" s="4">
        <v>114000</v>
      </c>
      <c r="Y282" s="11">
        <v>43599</v>
      </c>
      <c r="Z282" s="11">
        <v>45429</v>
      </c>
      <c r="AA282" s="2"/>
      <c r="AB282" s="63" t="s">
        <v>3840</v>
      </c>
      <c r="AC282" s="5" t="s">
        <v>4198</v>
      </c>
      <c r="AD282" s="2"/>
      <c r="AE282" s="6"/>
      <c r="AF282" s="23"/>
      <c r="AG282" s="6"/>
      <c r="AH282" s="5" t="s">
        <v>2255</v>
      </c>
      <c r="AI282" s="5" t="s">
        <v>3110</v>
      </c>
      <c r="AJ282" s="5" t="s">
        <v>3110</v>
      </c>
      <c r="AK282" s="16" t="s">
        <v>3</v>
      </c>
      <c r="AL282" s="65" t="s">
        <v>3842</v>
      </c>
      <c r="AM282" s="31" t="s">
        <v>898</v>
      </c>
    </row>
    <row r="283" spans="2:39" x14ac:dyDescent="0.25">
      <c r="B283" s="18" t="s">
        <v>3887</v>
      </c>
      <c r="C283" s="44" t="s">
        <v>3581</v>
      </c>
      <c r="D283" s="20" t="s">
        <v>56</v>
      </c>
      <c r="E283" s="67" t="s">
        <v>3</v>
      </c>
      <c r="F283" s="51" t="s">
        <v>3</v>
      </c>
      <c r="G283" s="37" t="s">
        <v>2715</v>
      </c>
      <c r="H283" s="68" t="s">
        <v>2715</v>
      </c>
      <c r="I283" s="62" t="s">
        <v>252</v>
      </c>
      <c r="J283" s="61" t="s">
        <v>250</v>
      </c>
      <c r="K283" s="4">
        <v>4993050</v>
      </c>
      <c r="L283" s="39">
        <v>102.768</v>
      </c>
      <c r="M283" s="4">
        <v>5138400</v>
      </c>
      <c r="N283" s="4">
        <v>5000000</v>
      </c>
      <c r="O283" s="4">
        <v>4996058</v>
      </c>
      <c r="P283" s="4">
        <v>0</v>
      </c>
      <c r="Q283" s="4">
        <v>2286</v>
      </c>
      <c r="R283" s="4">
        <v>0</v>
      </c>
      <c r="S283" s="4">
        <v>0</v>
      </c>
      <c r="T283" s="23">
        <v>1.9</v>
      </c>
      <c r="U283" s="23">
        <v>1.948</v>
      </c>
      <c r="V283" s="5" t="s">
        <v>12</v>
      </c>
      <c r="W283" s="4">
        <v>30347</v>
      </c>
      <c r="X283" s="4">
        <v>95000</v>
      </c>
      <c r="Y283" s="11">
        <v>43711</v>
      </c>
      <c r="Z283" s="11">
        <v>44810</v>
      </c>
      <c r="AA283" s="2"/>
      <c r="AB283" s="63" t="s">
        <v>3840</v>
      </c>
      <c r="AC283" s="5" t="s">
        <v>4198</v>
      </c>
      <c r="AD283" s="2"/>
      <c r="AE283" s="6"/>
      <c r="AF283" s="23"/>
      <c r="AG283" s="6"/>
      <c r="AH283" s="5" t="s">
        <v>2255</v>
      </c>
      <c r="AI283" s="5" t="s">
        <v>3110</v>
      </c>
      <c r="AJ283" s="5" t="s">
        <v>3110</v>
      </c>
      <c r="AK283" s="16" t="s">
        <v>3</v>
      </c>
      <c r="AL283" s="65" t="s">
        <v>3842</v>
      </c>
      <c r="AM283" s="31" t="s">
        <v>898</v>
      </c>
    </row>
    <row r="284" spans="2:39" x14ac:dyDescent="0.25">
      <c r="B284" s="18" t="s">
        <v>1378</v>
      </c>
      <c r="C284" s="44" t="s">
        <v>2478</v>
      </c>
      <c r="D284" s="20" t="s">
        <v>597</v>
      </c>
      <c r="E284" s="67" t="s">
        <v>3</v>
      </c>
      <c r="F284" s="51" t="s">
        <v>3</v>
      </c>
      <c r="G284" s="37" t="s">
        <v>2715</v>
      </c>
      <c r="H284" s="68" t="s">
        <v>3842</v>
      </c>
      <c r="I284" s="62" t="s">
        <v>1157</v>
      </c>
      <c r="J284" s="61" t="s">
        <v>250</v>
      </c>
      <c r="K284" s="4">
        <v>9522125</v>
      </c>
      <c r="L284" s="39">
        <v>108.202</v>
      </c>
      <c r="M284" s="4">
        <v>10279190</v>
      </c>
      <c r="N284" s="4">
        <v>9500000</v>
      </c>
      <c r="O284" s="4">
        <v>9515272</v>
      </c>
      <c r="P284" s="4">
        <v>0</v>
      </c>
      <c r="Q284" s="4">
        <v>-4340</v>
      </c>
      <c r="R284" s="4">
        <v>0</v>
      </c>
      <c r="S284" s="4">
        <v>0</v>
      </c>
      <c r="T284" s="23">
        <v>3.5</v>
      </c>
      <c r="U284" s="23">
        <v>3.4470000000000001</v>
      </c>
      <c r="V284" s="5" t="s">
        <v>3312</v>
      </c>
      <c r="W284" s="4">
        <v>48951</v>
      </c>
      <c r="X284" s="4">
        <v>332500</v>
      </c>
      <c r="Y284" s="11">
        <v>43602</v>
      </c>
      <c r="Z284" s="11">
        <v>45420</v>
      </c>
      <c r="AA284" s="2"/>
      <c r="AB284" s="63" t="s">
        <v>3840</v>
      </c>
      <c r="AC284" s="5" t="s">
        <v>4198</v>
      </c>
      <c r="AD284" s="2"/>
      <c r="AE284" s="10">
        <v>45390</v>
      </c>
      <c r="AF284" s="23">
        <v>100</v>
      </c>
      <c r="AG284" s="10">
        <v>45390</v>
      </c>
      <c r="AH284" s="5" t="s">
        <v>3888</v>
      </c>
      <c r="AI284" s="5" t="s">
        <v>597</v>
      </c>
      <c r="AJ284" s="5" t="s">
        <v>3</v>
      </c>
      <c r="AK284" s="16" t="s">
        <v>3</v>
      </c>
      <c r="AL284" s="65" t="s">
        <v>3842</v>
      </c>
      <c r="AM284" s="31" t="s">
        <v>926</v>
      </c>
    </row>
    <row r="285" spans="2:39" x14ac:dyDescent="0.25">
      <c r="B285" s="18" t="s">
        <v>2479</v>
      </c>
      <c r="C285" s="44" t="s">
        <v>2256</v>
      </c>
      <c r="D285" s="20" t="s">
        <v>2772</v>
      </c>
      <c r="E285" s="67" t="s">
        <v>3</v>
      </c>
      <c r="F285" s="51" t="s">
        <v>3</v>
      </c>
      <c r="G285" s="37" t="s">
        <v>2715</v>
      </c>
      <c r="H285" s="68" t="s">
        <v>929</v>
      </c>
      <c r="I285" s="62" t="s">
        <v>3310</v>
      </c>
      <c r="J285" s="61" t="s">
        <v>250</v>
      </c>
      <c r="K285" s="4">
        <v>3967922</v>
      </c>
      <c r="L285" s="39">
        <v>106.435</v>
      </c>
      <c r="M285" s="4">
        <v>4257400</v>
      </c>
      <c r="N285" s="4">
        <v>4000000</v>
      </c>
      <c r="O285" s="4">
        <v>3970419</v>
      </c>
      <c r="P285" s="4">
        <v>0</v>
      </c>
      <c r="Q285" s="4">
        <v>2497</v>
      </c>
      <c r="R285" s="4">
        <v>0</v>
      </c>
      <c r="S285" s="4">
        <v>0</v>
      </c>
      <c r="T285" s="23">
        <v>4.25</v>
      </c>
      <c r="U285" s="23">
        <v>4.3739999999999997</v>
      </c>
      <c r="V285" s="5" t="s">
        <v>3844</v>
      </c>
      <c r="W285" s="4">
        <v>7556</v>
      </c>
      <c r="X285" s="4">
        <v>174250</v>
      </c>
      <c r="Y285" s="11">
        <v>43959</v>
      </c>
      <c r="Z285" s="11">
        <v>46736</v>
      </c>
      <c r="AA285" s="2"/>
      <c r="AB285" s="63" t="s">
        <v>3840</v>
      </c>
      <c r="AC285" s="5" t="s">
        <v>4198</v>
      </c>
      <c r="AD285" s="2"/>
      <c r="AE285" s="11">
        <v>44910</v>
      </c>
      <c r="AF285" s="23">
        <v>102.125</v>
      </c>
      <c r="AG285" s="6"/>
      <c r="AH285" s="5" t="s">
        <v>57</v>
      </c>
      <c r="AI285" s="5" t="s">
        <v>2772</v>
      </c>
      <c r="AJ285" s="5" t="s">
        <v>3</v>
      </c>
      <c r="AK285" s="16" t="s">
        <v>3</v>
      </c>
      <c r="AL285" s="65" t="s">
        <v>3842</v>
      </c>
      <c r="AM285" s="31" t="s">
        <v>933</v>
      </c>
    </row>
    <row r="286" spans="2:39" x14ac:dyDescent="0.25">
      <c r="B286" s="18" t="s">
        <v>3582</v>
      </c>
      <c r="C286" s="44" t="s">
        <v>2773</v>
      </c>
      <c r="D286" s="20" t="s">
        <v>2480</v>
      </c>
      <c r="E286" s="67" t="s">
        <v>3</v>
      </c>
      <c r="F286" s="51" t="s">
        <v>3</v>
      </c>
      <c r="G286" s="37" t="s">
        <v>2715</v>
      </c>
      <c r="H286" s="68" t="s">
        <v>3842</v>
      </c>
      <c r="I286" s="62" t="s">
        <v>10</v>
      </c>
      <c r="J286" s="61" t="s">
        <v>250</v>
      </c>
      <c r="K286" s="4">
        <v>3494050</v>
      </c>
      <c r="L286" s="39">
        <v>106.28700000000001</v>
      </c>
      <c r="M286" s="4">
        <v>3720045</v>
      </c>
      <c r="N286" s="4">
        <v>3500000</v>
      </c>
      <c r="O286" s="4">
        <v>3495625</v>
      </c>
      <c r="P286" s="4">
        <v>0</v>
      </c>
      <c r="Q286" s="4">
        <v>1142</v>
      </c>
      <c r="R286" s="4">
        <v>0</v>
      </c>
      <c r="S286" s="4">
        <v>0</v>
      </c>
      <c r="T286" s="23">
        <v>2.5</v>
      </c>
      <c r="U286" s="23">
        <v>2.536</v>
      </c>
      <c r="V286" s="5" t="s">
        <v>12</v>
      </c>
      <c r="W286" s="4">
        <v>29167</v>
      </c>
      <c r="X286" s="4">
        <v>91632</v>
      </c>
      <c r="Y286" s="11">
        <v>43689</v>
      </c>
      <c r="Z286" s="11">
        <v>45536</v>
      </c>
      <c r="AA286" s="2"/>
      <c r="AB286" s="63" t="s">
        <v>3840</v>
      </c>
      <c r="AC286" s="5" t="s">
        <v>4198</v>
      </c>
      <c r="AD286" s="2"/>
      <c r="AE286" s="11">
        <v>45505</v>
      </c>
      <c r="AF286" s="23">
        <v>100</v>
      </c>
      <c r="AG286" s="9"/>
      <c r="AH286" s="5" t="s">
        <v>302</v>
      </c>
      <c r="AI286" s="5" t="s">
        <v>2480</v>
      </c>
      <c r="AJ286" s="5" t="s">
        <v>3</v>
      </c>
      <c r="AK286" s="16" t="s">
        <v>3</v>
      </c>
      <c r="AL286" s="65" t="s">
        <v>3842</v>
      </c>
      <c r="AM286" s="31" t="s">
        <v>1176</v>
      </c>
    </row>
    <row r="287" spans="2:39" x14ac:dyDescent="0.25">
      <c r="B287" s="18" t="s">
        <v>303</v>
      </c>
      <c r="C287" s="44" t="s">
        <v>3889</v>
      </c>
      <c r="D287" s="20" t="s">
        <v>3348</v>
      </c>
      <c r="E287" s="67" t="s">
        <v>3</v>
      </c>
      <c r="F287" s="51" t="s">
        <v>3</v>
      </c>
      <c r="G287" s="37" t="s">
        <v>2715</v>
      </c>
      <c r="H287" s="68" t="s">
        <v>3842</v>
      </c>
      <c r="I287" s="62" t="s">
        <v>3310</v>
      </c>
      <c r="J287" s="61" t="s">
        <v>250</v>
      </c>
      <c r="K287" s="4">
        <v>5031120</v>
      </c>
      <c r="L287" s="39">
        <v>106.64400000000001</v>
      </c>
      <c r="M287" s="4">
        <v>5332200</v>
      </c>
      <c r="N287" s="4">
        <v>5000000</v>
      </c>
      <c r="O287" s="4">
        <v>5018281</v>
      </c>
      <c r="P287" s="4">
        <v>0</v>
      </c>
      <c r="Q287" s="4">
        <v>-8096</v>
      </c>
      <c r="R287" s="4">
        <v>0</v>
      </c>
      <c r="S287" s="4">
        <v>0</v>
      </c>
      <c r="T287" s="23">
        <v>3.55</v>
      </c>
      <c r="U287" s="23">
        <v>3.3719999999999999</v>
      </c>
      <c r="V287" s="5" t="s">
        <v>3843</v>
      </c>
      <c r="W287" s="4">
        <v>44375</v>
      </c>
      <c r="X287" s="4">
        <v>177500</v>
      </c>
      <c r="Y287" s="11">
        <v>43553</v>
      </c>
      <c r="Z287" s="11">
        <v>45017</v>
      </c>
      <c r="AA287" s="2"/>
      <c r="AB287" s="63" t="s">
        <v>3840</v>
      </c>
      <c r="AC287" s="5" t="s">
        <v>4198</v>
      </c>
      <c r="AD287" s="2"/>
      <c r="AE287" s="11">
        <v>44986</v>
      </c>
      <c r="AF287" s="23">
        <v>100</v>
      </c>
      <c r="AG287" s="10">
        <v>44986</v>
      </c>
      <c r="AH287" s="5" t="s">
        <v>1379</v>
      </c>
      <c r="AI287" s="5" t="s">
        <v>950</v>
      </c>
      <c r="AJ287" s="5" t="s">
        <v>950</v>
      </c>
      <c r="AK287" s="16" t="s">
        <v>3</v>
      </c>
      <c r="AL287" s="65" t="s">
        <v>3842</v>
      </c>
      <c r="AM287" s="31" t="s">
        <v>1651</v>
      </c>
    </row>
    <row r="288" spans="2:39" x14ac:dyDescent="0.25">
      <c r="B288" s="18" t="s">
        <v>1380</v>
      </c>
      <c r="C288" s="44" t="s">
        <v>2257</v>
      </c>
      <c r="D288" s="20" t="s">
        <v>1191</v>
      </c>
      <c r="E288" s="67" t="s">
        <v>3</v>
      </c>
      <c r="F288" s="51" t="s">
        <v>3</v>
      </c>
      <c r="G288" s="37" t="s">
        <v>2715</v>
      </c>
      <c r="H288" s="68" t="s">
        <v>2715</v>
      </c>
      <c r="I288" s="62" t="s">
        <v>1157</v>
      </c>
      <c r="J288" s="61" t="s">
        <v>250</v>
      </c>
      <c r="K288" s="4">
        <v>5000000</v>
      </c>
      <c r="L288" s="39">
        <v>100.14100000000001</v>
      </c>
      <c r="M288" s="4">
        <v>5007050</v>
      </c>
      <c r="N288" s="4">
        <v>5000000</v>
      </c>
      <c r="O288" s="4">
        <v>5000000</v>
      </c>
      <c r="P288" s="4">
        <v>0</v>
      </c>
      <c r="Q288" s="4">
        <v>0</v>
      </c>
      <c r="R288" s="4">
        <v>0</v>
      </c>
      <c r="S288" s="4">
        <v>0</v>
      </c>
      <c r="T288" s="23">
        <v>1.018</v>
      </c>
      <c r="U288" s="23">
        <v>1.0169999999999999</v>
      </c>
      <c r="V288" s="5" t="s">
        <v>248</v>
      </c>
      <c r="W288" s="4">
        <v>19653</v>
      </c>
      <c r="X288" s="4">
        <v>0</v>
      </c>
      <c r="Y288" s="11">
        <v>44053</v>
      </c>
      <c r="Z288" s="11">
        <v>46611</v>
      </c>
      <c r="AA288" s="2"/>
      <c r="AB288" s="63" t="s">
        <v>3840</v>
      </c>
      <c r="AC288" s="5" t="s">
        <v>4198</v>
      </c>
      <c r="AD288" s="2"/>
      <c r="AE288" s="10">
        <v>46550</v>
      </c>
      <c r="AF288" s="23">
        <v>100</v>
      </c>
      <c r="AG288" s="6"/>
      <c r="AH288" s="5" t="s">
        <v>4247</v>
      </c>
      <c r="AI288" s="5" t="s">
        <v>2028</v>
      </c>
      <c r="AJ288" s="5" t="s">
        <v>3890</v>
      </c>
      <c r="AK288" s="16" t="s">
        <v>3</v>
      </c>
      <c r="AL288" s="65" t="s">
        <v>3842</v>
      </c>
      <c r="AM288" s="31" t="s">
        <v>1631</v>
      </c>
    </row>
    <row r="289" spans="2:39" x14ac:dyDescent="0.25">
      <c r="B289" s="18" t="s">
        <v>2481</v>
      </c>
      <c r="C289" s="44" t="s">
        <v>951</v>
      </c>
      <c r="D289" s="20" t="s">
        <v>58</v>
      </c>
      <c r="E289" s="67" t="s">
        <v>3</v>
      </c>
      <c r="F289" s="51" t="s">
        <v>3</v>
      </c>
      <c r="G289" s="37" t="s">
        <v>2715</v>
      </c>
      <c r="H289" s="68" t="s">
        <v>2715</v>
      </c>
      <c r="I289" s="62" t="s">
        <v>1157</v>
      </c>
      <c r="J289" s="61" t="s">
        <v>250</v>
      </c>
      <c r="K289" s="4">
        <v>15518000</v>
      </c>
      <c r="L289" s="39">
        <v>106.047</v>
      </c>
      <c r="M289" s="4">
        <v>15907050</v>
      </c>
      <c r="N289" s="4">
        <v>15000000</v>
      </c>
      <c r="O289" s="4">
        <v>15475809</v>
      </c>
      <c r="P289" s="4">
        <v>0</v>
      </c>
      <c r="Q289" s="4">
        <v>-42191</v>
      </c>
      <c r="R289" s="4">
        <v>0</v>
      </c>
      <c r="S289" s="4">
        <v>0</v>
      </c>
      <c r="T289" s="23">
        <v>1.9950000000000001</v>
      </c>
      <c r="U289" s="23">
        <v>1.454</v>
      </c>
      <c r="V289" s="5" t="s">
        <v>3312</v>
      </c>
      <c r="W289" s="4">
        <v>41563</v>
      </c>
      <c r="X289" s="4">
        <v>149625</v>
      </c>
      <c r="Y289" s="11">
        <v>43985</v>
      </c>
      <c r="Z289" s="11">
        <v>46518</v>
      </c>
      <c r="AA289" s="2"/>
      <c r="AB289" s="63" t="s">
        <v>3840</v>
      </c>
      <c r="AC289" s="5" t="s">
        <v>4198</v>
      </c>
      <c r="AD289" s="2"/>
      <c r="AE289" s="11">
        <v>46457</v>
      </c>
      <c r="AF289" s="23">
        <v>100</v>
      </c>
      <c r="AG289" s="11">
        <v>46457</v>
      </c>
      <c r="AH289" s="5" t="s">
        <v>1192</v>
      </c>
      <c r="AI289" s="5" t="s">
        <v>58</v>
      </c>
      <c r="AJ289" s="5" t="s">
        <v>3</v>
      </c>
      <c r="AK289" s="16" t="s">
        <v>3</v>
      </c>
      <c r="AL289" s="65" t="s">
        <v>3842</v>
      </c>
      <c r="AM289" s="31" t="s">
        <v>1631</v>
      </c>
    </row>
    <row r="290" spans="2:39" x14ac:dyDescent="0.25">
      <c r="B290" s="18" t="s">
        <v>3891</v>
      </c>
      <c r="C290" s="44" t="s">
        <v>2482</v>
      </c>
      <c r="D290" s="20" t="s">
        <v>3892</v>
      </c>
      <c r="E290" s="67" t="s">
        <v>3</v>
      </c>
      <c r="F290" s="51" t="s">
        <v>3</v>
      </c>
      <c r="G290" s="37" t="s">
        <v>3</v>
      </c>
      <c r="H290" s="68" t="s">
        <v>2715</v>
      </c>
      <c r="I290" s="62" t="s">
        <v>1358</v>
      </c>
      <c r="J290" s="61" t="s">
        <v>952</v>
      </c>
      <c r="K290" s="4">
        <v>5000000</v>
      </c>
      <c r="L290" s="39">
        <v>100.605</v>
      </c>
      <c r="M290" s="4">
        <v>5030250</v>
      </c>
      <c r="N290" s="4">
        <v>5000000</v>
      </c>
      <c r="O290" s="4">
        <v>5000000</v>
      </c>
      <c r="P290" s="4">
        <v>0</v>
      </c>
      <c r="Q290" s="4">
        <v>0</v>
      </c>
      <c r="R290" s="4">
        <v>0</v>
      </c>
      <c r="S290" s="4">
        <v>0</v>
      </c>
      <c r="T290" s="23">
        <v>1.82</v>
      </c>
      <c r="U290" s="23">
        <v>1.82</v>
      </c>
      <c r="V290" s="5" t="s">
        <v>3843</v>
      </c>
      <c r="W290" s="4">
        <v>15672</v>
      </c>
      <c r="X290" s="4">
        <v>0</v>
      </c>
      <c r="Y290" s="11">
        <v>44133</v>
      </c>
      <c r="Z290" s="11">
        <v>46689</v>
      </c>
      <c r="AA290" s="2"/>
      <c r="AB290" s="63" t="s">
        <v>1684</v>
      </c>
      <c r="AC290" s="5" t="s">
        <v>3</v>
      </c>
      <c r="AD290" s="2"/>
      <c r="AE290" s="9"/>
      <c r="AF290" s="23"/>
      <c r="AG290" s="6"/>
      <c r="AH290" s="5" t="s">
        <v>1686</v>
      </c>
      <c r="AI290" s="5" t="s">
        <v>3892</v>
      </c>
      <c r="AJ290" s="5" t="s">
        <v>3</v>
      </c>
      <c r="AK290" s="16" t="s">
        <v>3</v>
      </c>
      <c r="AL290" s="65" t="s">
        <v>3842</v>
      </c>
      <c r="AM290" s="31" t="s">
        <v>1381</v>
      </c>
    </row>
    <row r="291" spans="2:39" x14ac:dyDescent="0.25">
      <c r="B291" s="18" t="s">
        <v>598</v>
      </c>
      <c r="C291" s="44" t="s">
        <v>2483</v>
      </c>
      <c r="D291" s="20" t="s">
        <v>3892</v>
      </c>
      <c r="E291" s="67" t="s">
        <v>3</v>
      </c>
      <c r="F291" s="51" t="s">
        <v>3</v>
      </c>
      <c r="G291" s="37" t="s">
        <v>3</v>
      </c>
      <c r="H291" s="68" t="s">
        <v>2715</v>
      </c>
      <c r="I291" s="62" t="s">
        <v>1358</v>
      </c>
      <c r="J291" s="61" t="s">
        <v>952</v>
      </c>
      <c r="K291" s="4">
        <v>5000000</v>
      </c>
      <c r="L291" s="39">
        <v>100.301</v>
      </c>
      <c r="M291" s="4">
        <v>5015050</v>
      </c>
      <c r="N291" s="4">
        <v>5000000</v>
      </c>
      <c r="O291" s="4">
        <v>5000000</v>
      </c>
      <c r="P291" s="4">
        <v>0</v>
      </c>
      <c r="Q291" s="4">
        <v>0</v>
      </c>
      <c r="R291" s="4">
        <v>0</v>
      </c>
      <c r="S291" s="4">
        <v>0</v>
      </c>
      <c r="T291" s="23">
        <v>1.9</v>
      </c>
      <c r="U291" s="23">
        <v>1.9</v>
      </c>
      <c r="V291" s="5" t="s">
        <v>3843</v>
      </c>
      <c r="W291" s="4">
        <v>16361</v>
      </c>
      <c r="X291" s="4">
        <v>0</v>
      </c>
      <c r="Y291" s="11">
        <v>44133</v>
      </c>
      <c r="Z291" s="11">
        <v>47055</v>
      </c>
      <c r="AA291" s="2"/>
      <c r="AB291" s="63" t="s">
        <v>1684</v>
      </c>
      <c r="AC291" s="5" t="s">
        <v>3</v>
      </c>
      <c r="AD291" s="2"/>
      <c r="AE291" s="9"/>
      <c r="AF291" s="23"/>
      <c r="AG291" s="9"/>
      <c r="AH291" s="5" t="s">
        <v>1686</v>
      </c>
      <c r="AI291" s="5" t="s">
        <v>3892</v>
      </c>
      <c r="AJ291" s="5" t="s">
        <v>3</v>
      </c>
      <c r="AK291" s="16" t="s">
        <v>3</v>
      </c>
      <c r="AL291" s="65" t="s">
        <v>3842</v>
      </c>
      <c r="AM291" s="31" t="s">
        <v>1381</v>
      </c>
    </row>
    <row r="292" spans="2:39" x14ac:dyDescent="0.25">
      <c r="B292" s="18" t="s">
        <v>1687</v>
      </c>
      <c r="C292" s="44" t="s">
        <v>1193</v>
      </c>
      <c r="D292" s="20" t="s">
        <v>3892</v>
      </c>
      <c r="E292" s="67" t="s">
        <v>3</v>
      </c>
      <c r="F292" s="51" t="s">
        <v>3</v>
      </c>
      <c r="G292" s="37" t="s">
        <v>3</v>
      </c>
      <c r="H292" s="68" t="s">
        <v>2715</v>
      </c>
      <c r="I292" s="62" t="s">
        <v>1358</v>
      </c>
      <c r="J292" s="61" t="s">
        <v>952</v>
      </c>
      <c r="K292" s="4">
        <v>5000000</v>
      </c>
      <c r="L292" s="39">
        <v>100.136</v>
      </c>
      <c r="M292" s="4">
        <v>5006800</v>
      </c>
      <c r="N292" s="4">
        <v>5000000</v>
      </c>
      <c r="O292" s="4">
        <v>5000000</v>
      </c>
      <c r="P292" s="4">
        <v>0</v>
      </c>
      <c r="Q292" s="4">
        <v>0</v>
      </c>
      <c r="R292" s="4">
        <v>0</v>
      </c>
      <c r="S292" s="4">
        <v>0</v>
      </c>
      <c r="T292" s="23">
        <v>1.97</v>
      </c>
      <c r="U292" s="23">
        <v>1.97</v>
      </c>
      <c r="V292" s="5" t="s">
        <v>3843</v>
      </c>
      <c r="W292" s="4">
        <v>16964</v>
      </c>
      <c r="X292" s="4">
        <v>0</v>
      </c>
      <c r="Y292" s="11">
        <v>44133</v>
      </c>
      <c r="Z292" s="11">
        <v>47420</v>
      </c>
      <c r="AA292" s="2"/>
      <c r="AB292" s="63" t="s">
        <v>1684</v>
      </c>
      <c r="AC292" s="5" t="s">
        <v>3</v>
      </c>
      <c r="AD292" s="2"/>
      <c r="AE292" s="9"/>
      <c r="AF292" s="23"/>
      <c r="AG292" s="9"/>
      <c r="AH292" s="5" t="s">
        <v>1686</v>
      </c>
      <c r="AI292" s="5" t="s">
        <v>3892</v>
      </c>
      <c r="AJ292" s="5" t="s">
        <v>3</v>
      </c>
      <c r="AK292" s="16" t="s">
        <v>3</v>
      </c>
      <c r="AL292" s="65" t="s">
        <v>3842</v>
      </c>
      <c r="AM292" s="31" t="s">
        <v>1381</v>
      </c>
    </row>
    <row r="293" spans="2:39" x14ac:dyDescent="0.25">
      <c r="B293" s="18" t="s">
        <v>2774</v>
      </c>
      <c r="C293" s="44" t="s">
        <v>4248</v>
      </c>
      <c r="D293" s="20" t="s">
        <v>2029</v>
      </c>
      <c r="E293" s="67" t="s">
        <v>3</v>
      </c>
      <c r="F293" s="51" t="s">
        <v>3</v>
      </c>
      <c r="G293" s="37" t="s">
        <v>2715</v>
      </c>
      <c r="H293" s="68" t="s">
        <v>3842</v>
      </c>
      <c r="I293" s="62" t="s">
        <v>1157</v>
      </c>
      <c r="J293" s="61" t="s">
        <v>250</v>
      </c>
      <c r="K293" s="4">
        <v>7266420</v>
      </c>
      <c r="L293" s="39">
        <v>110.476</v>
      </c>
      <c r="M293" s="4">
        <v>7733320</v>
      </c>
      <c r="N293" s="4">
        <v>7000000</v>
      </c>
      <c r="O293" s="4">
        <v>7236685</v>
      </c>
      <c r="P293" s="4">
        <v>0</v>
      </c>
      <c r="Q293" s="4">
        <v>-29735</v>
      </c>
      <c r="R293" s="4">
        <v>0</v>
      </c>
      <c r="S293" s="4">
        <v>0</v>
      </c>
      <c r="T293" s="23">
        <v>3.9</v>
      </c>
      <c r="U293" s="23">
        <v>3.2850000000000001</v>
      </c>
      <c r="V293" s="5" t="s">
        <v>3312</v>
      </c>
      <c r="W293" s="4">
        <v>34883</v>
      </c>
      <c r="X293" s="4">
        <v>273000</v>
      </c>
      <c r="Y293" s="11">
        <v>43873</v>
      </c>
      <c r="Z293" s="11">
        <v>46522</v>
      </c>
      <c r="AA293" s="2"/>
      <c r="AB293" s="63" t="s">
        <v>3840</v>
      </c>
      <c r="AC293" s="5" t="s">
        <v>4198</v>
      </c>
      <c r="AD293" s="2"/>
      <c r="AE293" s="11">
        <v>46433</v>
      </c>
      <c r="AF293" s="23">
        <v>100</v>
      </c>
      <c r="AG293" s="10">
        <v>46433</v>
      </c>
      <c r="AH293" s="5" t="s">
        <v>59</v>
      </c>
      <c r="AI293" s="5" t="s">
        <v>2029</v>
      </c>
      <c r="AJ293" s="5" t="s">
        <v>3</v>
      </c>
      <c r="AK293" s="16" t="s">
        <v>3</v>
      </c>
      <c r="AL293" s="65" t="s">
        <v>3842</v>
      </c>
      <c r="AM293" s="31" t="s">
        <v>926</v>
      </c>
    </row>
    <row r="294" spans="2:39" x14ac:dyDescent="0.25">
      <c r="B294" s="18" t="s">
        <v>304</v>
      </c>
      <c r="C294" s="44" t="s">
        <v>3893</v>
      </c>
      <c r="D294" s="20" t="s">
        <v>953</v>
      </c>
      <c r="E294" s="67" t="s">
        <v>3</v>
      </c>
      <c r="F294" s="51" t="s">
        <v>3</v>
      </c>
      <c r="G294" s="37" t="s">
        <v>3</v>
      </c>
      <c r="H294" s="68" t="s">
        <v>2715</v>
      </c>
      <c r="I294" s="62" t="s">
        <v>3538</v>
      </c>
      <c r="J294" s="61" t="s">
        <v>250</v>
      </c>
      <c r="K294" s="4">
        <v>1014190</v>
      </c>
      <c r="L294" s="39">
        <v>110.093</v>
      </c>
      <c r="M294" s="4">
        <v>1100930</v>
      </c>
      <c r="N294" s="4">
        <v>1000000</v>
      </c>
      <c r="O294" s="4">
        <v>1008288</v>
      </c>
      <c r="P294" s="4">
        <v>0</v>
      </c>
      <c r="Q294" s="4">
        <v>-2435</v>
      </c>
      <c r="R294" s="4">
        <v>0</v>
      </c>
      <c r="S294" s="4">
        <v>0</v>
      </c>
      <c r="T294" s="23">
        <v>3.625</v>
      </c>
      <c r="U294" s="23">
        <v>3.3479999999999999</v>
      </c>
      <c r="V294" s="5" t="s">
        <v>12</v>
      </c>
      <c r="W294" s="4">
        <v>11781</v>
      </c>
      <c r="X294" s="4">
        <v>36250</v>
      </c>
      <c r="Y294" s="11">
        <v>43278</v>
      </c>
      <c r="Z294" s="11">
        <v>45355</v>
      </c>
      <c r="AA294" s="2"/>
      <c r="AB294" s="63" t="s">
        <v>3840</v>
      </c>
      <c r="AC294" s="5" t="s">
        <v>4198</v>
      </c>
      <c r="AD294" s="2"/>
      <c r="AE294" s="9"/>
      <c r="AF294" s="23"/>
      <c r="AG294" s="6"/>
      <c r="AH294" s="5" t="s">
        <v>1688</v>
      </c>
      <c r="AI294" s="5" t="s">
        <v>953</v>
      </c>
      <c r="AJ294" s="5" t="s">
        <v>3</v>
      </c>
      <c r="AK294" s="16" t="s">
        <v>3</v>
      </c>
      <c r="AL294" s="65" t="s">
        <v>3842</v>
      </c>
      <c r="AM294" s="31" t="s">
        <v>1161</v>
      </c>
    </row>
    <row r="295" spans="2:39" x14ac:dyDescent="0.25">
      <c r="B295" s="18" t="s">
        <v>1382</v>
      </c>
      <c r="C295" s="44" t="s">
        <v>954</v>
      </c>
      <c r="D295" s="20" t="s">
        <v>953</v>
      </c>
      <c r="E295" s="67" t="s">
        <v>3</v>
      </c>
      <c r="F295" s="51" t="s">
        <v>3</v>
      </c>
      <c r="G295" s="37" t="s">
        <v>3</v>
      </c>
      <c r="H295" s="68" t="s">
        <v>2715</v>
      </c>
      <c r="I295" s="62" t="s">
        <v>3538</v>
      </c>
      <c r="J295" s="61" t="s">
        <v>250</v>
      </c>
      <c r="K295" s="4">
        <v>10193100</v>
      </c>
      <c r="L295" s="39">
        <v>100.434</v>
      </c>
      <c r="M295" s="4">
        <v>10043399</v>
      </c>
      <c r="N295" s="4">
        <v>10000000</v>
      </c>
      <c r="O295" s="4">
        <v>10005528</v>
      </c>
      <c r="P295" s="4">
        <v>0</v>
      </c>
      <c r="Q295" s="4">
        <v>-31248</v>
      </c>
      <c r="R295" s="4">
        <v>0</v>
      </c>
      <c r="S295" s="4">
        <v>0</v>
      </c>
      <c r="T295" s="23">
        <v>2.9</v>
      </c>
      <c r="U295" s="23">
        <v>2.58</v>
      </c>
      <c r="V295" s="5" t="s">
        <v>12</v>
      </c>
      <c r="W295" s="4">
        <v>94250</v>
      </c>
      <c r="X295" s="4">
        <v>290000</v>
      </c>
      <c r="Y295" s="11">
        <v>41842</v>
      </c>
      <c r="Z295" s="11">
        <v>44259</v>
      </c>
      <c r="AA295" s="2"/>
      <c r="AB295" s="63" t="s">
        <v>3840</v>
      </c>
      <c r="AC295" s="5" t="s">
        <v>4198</v>
      </c>
      <c r="AD295" s="2"/>
      <c r="AE295" s="9"/>
      <c r="AF295" s="23"/>
      <c r="AG295" s="6"/>
      <c r="AH295" s="5" t="s">
        <v>1688</v>
      </c>
      <c r="AI295" s="5" t="s">
        <v>953</v>
      </c>
      <c r="AJ295" s="5" t="s">
        <v>3</v>
      </c>
      <c r="AK295" s="16" t="s">
        <v>3</v>
      </c>
      <c r="AL295" s="65" t="s">
        <v>3842</v>
      </c>
      <c r="AM295" s="31" t="s">
        <v>1161</v>
      </c>
    </row>
    <row r="296" spans="2:39" x14ac:dyDescent="0.25">
      <c r="B296" s="18" t="s">
        <v>2484</v>
      </c>
      <c r="C296" s="44" t="s">
        <v>305</v>
      </c>
      <c r="D296" s="20" t="s">
        <v>953</v>
      </c>
      <c r="E296" s="67" t="s">
        <v>3</v>
      </c>
      <c r="F296" s="51" t="s">
        <v>3</v>
      </c>
      <c r="G296" s="37" t="s">
        <v>3</v>
      </c>
      <c r="H296" s="68" t="s">
        <v>2715</v>
      </c>
      <c r="I296" s="62" t="s">
        <v>3538</v>
      </c>
      <c r="J296" s="61" t="s">
        <v>250</v>
      </c>
      <c r="K296" s="4">
        <v>4792128</v>
      </c>
      <c r="L296" s="39">
        <v>104.901</v>
      </c>
      <c r="M296" s="4">
        <v>5035248</v>
      </c>
      <c r="N296" s="4">
        <v>4800000</v>
      </c>
      <c r="O296" s="4">
        <v>4797415</v>
      </c>
      <c r="P296" s="4">
        <v>0</v>
      </c>
      <c r="Q296" s="4">
        <v>1149</v>
      </c>
      <c r="R296" s="4">
        <v>0</v>
      </c>
      <c r="S296" s="4">
        <v>0</v>
      </c>
      <c r="T296" s="23">
        <v>2.6</v>
      </c>
      <c r="U296" s="23">
        <v>2.6259999999999999</v>
      </c>
      <c r="V296" s="5" t="s">
        <v>248</v>
      </c>
      <c r="W296" s="4">
        <v>42640</v>
      </c>
      <c r="X296" s="4">
        <v>124800</v>
      </c>
      <c r="Y296" s="11">
        <v>42422</v>
      </c>
      <c r="Z296" s="11">
        <v>44985</v>
      </c>
      <c r="AA296" s="2"/>
      <c r="AB296" s="63" t="s">
        <v>3840</v>
      </c>
      <c r="AC296" s="5" t="s">
        <v>4198</v>
      </c>
      <c r="AD296" s="2"/>
      <c r="AE296" s="9"/>
      <c r="AF296" s="23"/>
      <c r="AG296" s="6"/>
      <c r="AH296" s="5" t="s">
        <v>1688</v>
      </c>
      <c r="AI296" s="5" t="s">
        <v>953</v>
      </c>
      <c r="AJ296" s="5" t="s">
        <v>3</v>
      </c>
      <c r="AK296" s="16" t="s">
        <v>3</v>
      </c>
      <c r="AL296" s="65" t="s">
        <v>3842</v>
      </c>
      <c r="AM296" s="31" t="s">
        <v>1161</v>
      </c>
    </row>
    <row r="297" spans="2:39" x14ac:dyDescent="0.25">
      <c r="B297" s="18" t="s">
        <v>3583</v>
      </c>
      <c r="C297" s="44" t="s">
        <v>3111</v>
      </c>
      <c r="D297" s="20" t="s">
        <v>955</v>
      </c>
      <c r="E297" s="67" t="s">
        <v>3</v>
      </c>
      <c r="F297" s="51" t="s">
        <v>3</v>
      </c>
      <c r="G297" s="37" t="s">
        <v>2715</v>
      </c>
      <c r="H297" s="68" t="s">
        <v>2715</v>
      </c>
      <c r="I297" s="62" t="s">
        <v>1358</v>
      </c>
      <c r="J297" s="61" t="s">
        <v>250</v>
      </c>
      <c r="K297" s="4">
        <v>10254100</v>
      </c>
      <c r="L297" s="39">
        <v>108.81699999999999</v>
      </c>
      <c r="M297" s="4">
        <v>10881700</v>
      </c>
      <c r="N297" s="4">
        <v>10000000</v>
      </c>
      <c r="O297" s="4">
        <v>10203133</v>
      </c>
      <c r="P297" s="4">
        <v>0</v>
      </c>
      <c r="Q297" s="4">
        <v>-50967</v>
      </c>
      <c r="R297" s="4">
        <v>0</v>
      </c>
      <c r="S297" s="4">
        <v>0</v>
      </c>
      <c r="T297" s="23">
        <v>3.3519999999999999</v>
      </c>
      <c r="U297" s="23">
        <v>2.702</v>
      </c>
      <c r="V297" s="5" t="s">
        <v>3843</v>
      </c>
      <c r="W297" s="4">
        <v>62384</v>
      </c>
      <c r="X297" s="4">
        <v>335200</v>
      </c>
      <c r="Y297" s="11">
        <v>43873</v>
      </c>
      <c r="Z297" s="11">
        <v>45771</v>
      </c>
      <c r="AA297" s="2"/>
      <c r="AB297" s="63" t="s">
        <v>3840</v>
      </c>
      <c r="AC297" s="5" t="s">
        <v>4198</v>
      </c>
      <c r="AD297" s="2"/>
      <c r="AE297" s="11">
        <v>45406</v>
      </c>
      <c r="AF297" s="23">
        <v>100</v>
      </c>
      <c r="AG297" s="10">
        <v>45406</v>
      </c>
      <c r="AH297" s="5" t="s">
        <v>1194</v>
      </c>
      <c r="AI297" s="5" t="s">
        <v>955</v>
      </c>
      <c r="AJ297" s="5" t="s">
        <v>3</v>
      </c>
      <c r="AK297" s="16" t="s">
        <v>3</v>
      </c>
      <c r="AL297" s="65" t="s">
        <v>3842</v>
      </c>
      <c r="AM297" s="31" t="s">
        <v>559</v>
      </c>
    </row>
    <row r="298" spans="2:39" x14ac:dyDescent="0.25">
      <c r="B298" s="18" t="s">
        <v>306</v>
      </c>
      <c r="C298" s="44" t="s">
        <v>3349</v>
      </c>
      <c r="D298" s="20" t="s">
        <v>956</v>
      </c>
      <c r="E298" s="67" t="s">
        <v>3</v>
      </c>
      <c r="F298" s="51" t="s">
        <v>3</v>
      </c>
      <c r="G298" s="37" t="s">
        <v>2715</v>
      </c>
      <c r="H298" s="68" t="s">
        <v>2715</v>
      </c>
      <c r="I298" s="62" t="s">
        <v>3538</v>
      </c>
      <c r="J298" s="61" t="s">
        <v>250</v>
      </c>
      <c r="K298" s="4">
        <v>4993200</v>
      </c>
      <c r="L298" s="39">
        <v>109.339</v>
      </c>
      <c r="M298" s="4">
        <v>5466950</v>
      </c>
      <c r="N298" s="4">
        <v>5000000</v>
      </c>
      <c r="O298" s="4">
        <v>4995691</v>
      </c>
      <c r="P298" s="4">
        <v>0</v>
      </c>
      <c r="Q298" s="4">
        <v>1307</v>
      </c>
      <c r="R298" s="4">
        <v>0</v>
      </c>
      <c r="S298" s="4">
        <v>0</v>
      </c>
      <c r="T298" s="23">
        <v>3.65</v>
      </c>
      <c r="U298" s="23">
        <v>3.68</v>
      </c>
      <c r="V298" s="5" t="s">
        <v>1982</v>
      </c>
      <c r="W298" s="4">
        <v>80097</v>
      </c>
      <c r="X298" s="4">
        <v>182500</v>
      </c>
      <c r="Y298" s="11">
        <v>43480</v>
      </c>
      <c r="Z298" s="11">
        <v>45314</v>
      </c>
      <c r="AA298" s="2"/>
      <c r="AB298" s="63" t="s">
        <v>3840</v>
      </c>
      <c r="AC298" s="5" t="s">
        <v>4198</v>
      </c>
      <c r="AD298" s="2"/>
      <c r="AE298" s="11">
        <v>45283</v>
      </c>
      <c r="AF298" s="23">
        <v>100</v>
      </c>
      <c r="AG298" s="6"/>
      <c r="AH298" s="5" t="s">
        <v>3</v>
      </c>
      <c r="AI298" s="5" t="s">
        <v>956</v>
      </c>
      <c r="AJ298" s="5" t="s">
        <v>3</v>
      </c>
      <c r="AK298" s="16" t="s">
        <v>3</v>
      </c>
      <c r="AL298" s="65" t="s">
        <v>3842</v>
      </c>
      <c r="AM298" s="31" t="s">
        <v>1161</v>
      </c>
    </row>
    <row r="299" spans="2:39" x14ac:dyDescent="0.25">
      <c r="B299" s="18" t="s">
        <v>1689</v>
      </c>
      <c r="C299" s="44" t="s">
        <v>1383</v>
      </c>
      <c r="D299" s="20" t="s">
        <v>1690</v>
      </c>
      <c r="E299" s="67" t="s">
        <v>3</v>
      </c>
      <c r="F299" s="51" t="s">
        <v>3</v>
      </c>
      <c r="G299" s="37" t="s">
        <v>3842</v>
      </c>
      <c r="H299" s="68" t="s">
        <v>3842</v>
      </c>
      <c r="I299" s="62" t="s">
        <v>3310</v>
      </c>
      <c r="J299" s="61" t="s">
        <v>250</v>
      </c>
      <c r="K299" s="4">
        <v>2997210</v>
      </c>
      <c r="L299" s="39">
        <v>100.619</v>
      </c>
      <c r="M299" s="4">
        <v>3018570</v>
      </c>
      <c r="N299" s="4">
        <v>3000000</v>
      </c>
      <c r="O299" s="4">
        <v>2999783</v>
      </c>
      <c r="P299" s="4">
        <v>0</v>
      </c>
      <c r="Q299" s="4">
        <v>581</v>
      </c>
      <c r="R299" s="4">
        <v>0</v>
      </c>
      <c r="S299" s="4">
        <v>0</v>
      </c>
      <c r="T299" s="23">
        <v>2.5499999999999998</v>
      </c>
      <c r="U299" s="23">
        <v>2.57</v>
      </c>
      <c r="V299" s="5" t="s">
        <v>3312</v>
      </c>
      <c r="W299" s="4">
        <v>10200</v>
      </c>
      <c r="X299" s="4">
        <v>76500</v>
      </c>
      <c r="Y299" s="11">
        <v>42500</v>
      </c>
      <c r="Z299" s="11">
        <v>44329</v>
      </c>
      <c r="AA299" s="2"/>
      <c r="AB299" s="63" t="s">
        <v>3840</v>
      </c>
      <c r="AC299" s="5" t="s">
        <v>4198</v>
      </c>
      <c r="AD299" s="2"/>
      <c r="AE299" s="11">
        <v>44299</v>
      </c>
      <c r="AF299" s="23">
        <v>100</v>
      </c>
      <c r="AG299" s="9"/>
      <c r="AH299" s="5" t="s">
        <v>1691</v>
      </c>
      <c r="AI299" s="5" t="s">
        <v>1690</v>
      </c>
      <c r="AJ299" s="5" t="s">
        <v>3</v>
      </c>
      <c r="AK299" s="16" t="s">
        <v>3</v>
      </c>
      <c r="AL299" s="65" t="s">
        <v>3842</v>
      </c>
      <c r="AM299" s="31" t="s">
        <v>1651</v>
      </c>
    </row>
    <row r="300" spans="2:39" x14ac:dyDescent="0.25">
      <c r="B300" s="18" t="s">
        <v>2775</v>
      </c>
      <c r="C300" s="44" t="s">
        <v>1692</v>
      </c>
      <c r="D300" s="20" t="s">
        <v>307</v>
      </c>
      <c r="E300" s="67" t="s">
        <v>3</v>
      </c>
      <c r="F300" s="51" t="s">
        <v>3</v>
      </c>
      <c r="G300" s="37" t="s">
        <v>3842</v>
      </c>
      <c r="H300" s="68" t="s">
        <v>3842</v>
      </c>
      <c r="I300" s="62" t="s">
        <v>3310</v>
      </c>
      <c r="J300" s="61" t="s">
        <v>250</v>
      </c>
      <c r="K300" s="4">
        <v>4998150</v>
      </c>
      <c r="L300" s="39">
        <v>113.527</v>
      </c>
      <c r="M300" s="4">
        <v>5676350</v>
      </c>
      <c r="N300" s="4">
        <v>5000000</v>
      </c>
      <c r="O300" s="4">
        <v>4998615</v>
      </c>
      <c r="P300" s="4">
        <v>0</v>
      </c>
      <c r="Q300" s="4">
        <v>241</v>
      </c>
      <c r="R300" s="4">
        <v>0</v>
      </c>
      <c r="S300" s="4">
        <v>0</v>
      </c>
      <c r="T300" s="23">
        <v>3.75</v>
      </c>
      <c r="U300" s="23">
        <v>3.7559999999999998</v>
      </c>
      <c r="V300" s="5" t="s">
        <v>248</v>
      </c>
      <c r="W300" s="4">
        <v>69271</v>
      </c>
      <c r="X300" s="4">
        <v>187500</v>
      </c>
      <c r="Y300" s="11">
        <v>43507</v>
      </c>
      <c r="Z300" s="11">
        <v>46071</v>
      </c>
      <c r="AA300" s="2"/>
      <c r="AB300" s="63" t="s">
        <v>3840</v>
      </c>
      <c r="AC300" s="5" t="s">
        <v>4198</v>
      </c>
      <c r="AD300" s="2"/>
      <c r="AE300" s="11">
        <v>45979</v>
      </c>
      <c r="AF300" s="23">
        <v>100</v>
      </c>
      <c r="AG300" s="6"/>
      <c r="AH300" s="5" t="s">
        <v>3</v>
      </c>
      <c r="AI300" s="5" t="s">
        <v>599</v>
      </c>
      <c r="AJ300" s="5" t="s">
        <v>1690</v>
      </c>
      <c r="AK300" s="16" t="s">
        <v>3</v>
      </c>
      <c r="AL300" s="65" t="s">
        <v>3842</v>
      </c>
      <c r="AM300" s="31" t="s">
        <v>1651</v>
      </c>
    </row>
    <row r="301" spans="2:39" x14ac:dyDescent="0.25">
      <c r="B301" s="18" t="s">
        <v>3894</v>
      </c>
      <c r="C301" s="44" t="s">
        <v>3112</v>
      </c>
      <c r="D301" s="20" t="s">
        <v>2776</v>
      </c>
      <c r="E301" s="67" t="s">
        <v>3</v>
      </c>
      <c r="F301" s="51" t="s">
        <v>3</v>
      </c>
      <c r="G301" s="37" t="s">
        <v>2715</v>
      </c>
      <c r="H301" s="68" t="s">
        <v>3842</v>
      </c>
      <c r="I301" s="62" t="s">
        <v>3310</v>
      </c>
      <c r="J301" s="61" t="s">
        <v>250</v>
      </c>
      <c r="K301" s="4">
        <v>10228125</v>
      </c>
      <c r="L301" s="39">
        <v>110.863</v>
      </c>
      <c r="M301" s="4">
        <v>11086300</v>
      </c>
      <c r="N301" s="4">
        <v>10000000</v>
      </c>
      <c r="O301" s="4">
        <v>10208127</v>
      </c>
      <c r="P301" s="4">
        <v>0</v>
      </c>
      <c r="Q301" s="4">
        <v>-20513</v>
      </c>
      <c r="R301" s="4">
        <v>0</v>
      </c>
      <c r="S301" s="4">
        <v>0</v>
      </c>
      <c r="T301" s="23">
        <v>2.85</v>
      </c>
      <c r="U301" s="23">
        <v>2.427</v>
      </c>
      <c r="V301" s="5" t="s">
        <v>1982</v>
      </c>
      <c r="W301" s="4">
        <v>121917</v>
      </c>
      <c r="X301" s="4">
        <v>207338</v>
      </c>
      <c r="Y301" s="11">
        <v>43985</v>
      </c>
      <c r="Z301" s="11">
        <v>46230</v>
      </c>
      <c r="AA301" s="2"/>
      <c r="AB301" s="63" t="s">
        <v>3840</v>
      </c>
      <c r="AC301" s="5" t="s">
        <v>4198</v>
      </c>
      <c r="AD301" s="2"/>
      <c r="AE301" s="10">
        <v>46139</v>
      </c>
      <c r="AF301" s="23">
        <v>100</v>
      </c>
      <c r="AG301" s="10">
        <v>46139</v>
      </c>
      <c r="AH301" s="5" t="s">
        <v>600</v>
      </c>
      <c r="AI301" s="5" t="s">
        <v>2258</v>
      </c>
      <c r="AJ301" s="5" t="s">
        <v>1693</v>
      </c>
      <c r="AK301" s="16" t="s">
        <v>3</v>
      </c>
      <c r="AL301" s="65" t="s">
        <v>3842</v>
      </c>
      <c r="AM301" s="31" t="s">
        <v>1651</v>
      </c>
    </row>
    <row r="302" spans="2:39" x14ac:dyDescent="0.25">
      <c r="B302" s="18" t="s">
        <v>601</v>
      </c>
      <c r="C302" s="44" t="s">
        <v>1195</v>
      </c>
      <c r="D302" s="20" t="s">
        <v>2485</v>
      </c>
      <c r="E302" s="67" t="s">
        <v>3</v>
      </c>
      <c r="F302" s="51" t="s">
        <v>3</v>
      </c>
      <c r="G302" s="37" t="s">
        <v>3</v>
      </c>
      <c r="H302" s="68" t="s">
        <v>2715</v>
      </c>
      <c r="I302" s="62" t="s">
        <v>252</v>
      </c>
      <c r="J302" s="61" t="s">
        <v>250</v>
      </c>
      <c r="K302" s="4">
        <v>902977</v>
      </c>
      <c r="L302" s="39">
        <v>104.31399999999999</v>
      </c>
      <c r="M302" s="4">
        <v>941931</v>
      </c>
      <c r="N302" s="4">
        <v>902977</v>
      </c>
      <c r="O302" s="4">
        <v>902977</v>
      </c>
      <c r="P302" s="4">
        <v>0</v>
      </c>
      <c r="Q302" s="4">
        <v>0</v>
      </c>
      <c r="R302" s="4">
        <v>0</v>
      </c>
      <c r="S302" s="4">
        <v>0</v>
      </c>
      <c r="T302" s="23">
        <v>3.33</v>
      </c>
      <c r="U302" s="23">
        <v>3.33</v>
      </c>
      <c r="V302" s="5" t="s">
        <v>248</v>
      </c>
      <c r="W302" s="4">
        <v>10441</v>
      </c>
      <c r="X302" s="4">
        <v>96081</v>
      </c>
      <c r="Y302" s="11">
        <v>42242</v>
      </c>
      <c r="Z302" s="11">
        <v>44799</v>
      </c>
      <c r="AA302" s="2"/>
      <c r="AB302" s="63" t="s">
        <v>2748</v>
      </c>
      <c r="AC302" s="5" t="s">
        <v>3</v>
      </c>
      <c r="AD302" s="2"/>
      <c r="AE302" s="9"/>
      <c r="AF302" s="23"/>
      <c r="AG302" s="9"/>
      <c r="AH302" s="5" t="s">
        <v>3</v>
      </c>
      <c r="AI302" s="5" t="s">
        <v>1694</v>
      </c>
      <c r="AJ302" s="5" t="s">
        <v>1694</v>
      </c>
      <c r="AK302" s="16" t="s">
        <v>3</v>
      </c>
      <c r="AL302" s="65" t="s">
        <v>3842</v>
      </c>
      <c r="AM302" s="31" t="s">
        <v>898</v>
      </c>
    </row>
    <row r="303" spans="2:39" x14ac:dyDescent="0.25">
      <c r="B303" s="18" t="s">
        <v>1695</v>
      </c>
      <c r="C303" s="44" t="s">
        <v>2030</v>
      </c>
      <c r="D303" s="20" t="s">
        <v>3350</v>
      </c>
      <c r="E303" s="67" t="s">
        <v>3</v>
      </c>
      <c r="F303" s="51" t="s">
        <v>3</v>
      </c>
      <c r="G303" s="37" t="s">
        <v>3</v>
      </c>
      <c r="H303" s="68" t="s">
        <v>3842</v>
      </c>
      <c r="I303" s="62" t="s">
        <v>3310</v>
      </c>
      <c r="J303" s="61" t="s">
        <v>3</v>
      </c>
      <c r="K303" s="4">
        <v>5000000</v>
      </c>
      <c r="L303" s="39">
        <v>107.729</v>
      </c>
      <c r="M303" s="4">
        <v>5386450</v>
      </c>
      <c r="N303" s="4">
        <v>5000000</v>
      </c>
      <c r="O303" s="4">
        <v>5000000</v>
      </c>
      <c r="P303" s="4">
        <v>0</v>
      </c>
      <c r="Q303" s="4">
        <v>0</v>
      </c>
      <c r="R303" s="4">
        <v>0</v>
      </c>
      <c r="S303" s="4">
        <v>0</v>
      </c>
      <c r="T303" s="23">
        <v>3.17</v>
      </c>
      <c r="U303" s="23">
        <v>3.17</v>
      </c>
      <c r="V303" s="5" t="s">
        <v>3844</v>
      </c>
      <c r="W303" s="4">
        <v>6604</v>
      </c>
      <c r="X303" s="4">
        <v>158500</v>
      </c>
      <c r="Y303" s="11">
        <v>43185</v>
      </c>
      <c r="Z303" s="11">
        <v>45642</v>
      </c>
      <c r="AA303" s="2"/>
      <c r="AB303" s="63" t="s">
        <v>2748</v>
      </c>
      <c r="AC303" s="5" t="s">
        <v>3</v>
      </c>
      <c r="AD303" s="2"/>
      <c r="AE303" s="9"/>
      <c r="AF303" s="23"/>
      <c r="AG303" s="9"/>
      <c r="AH303" s="5" t="s">
        <v>308</v>
      </c>
      <c r="AI303" s="5" t="s">
        <v>3350</v>
      </c>
      <c r="AJ303" s="5" t="s">
        <v>3</v>
      </c>
      <c r="AK303" s="16" t="s">
        <v>3</v>
      </c>
      <c r="AL303" s="65" t="s">
        <v>3842</v>
      </c>
      <c r="AM303" s="31" t="s">
        <v>309</v>
      </c>
    </row>
    <row r="304" spans="2:39" x14ac:dyDescent="0.25">
      <c r="B304" s="18" t="s">
        <v>3584</v>
      </c>
      <c r="C304" s="44" t="s">
        <v>2031</v>
      </c>
      <c r="D304" s="20" t="s">
        <v>2486</v>
      </c>
      <c r="E304" s="67" t="s">
        <v>3</v>
      </c>
      <c r="F304" s="51" t="s">
        <v>3</v>
      </c>
      <c r="G304" s="37" t="s">
        <v>2715</v>
      </c>
      <c r="H304" s="68" t="s">
        <v>2715</v>
      </c>
      <c r="I304" s="62" t="s">
        <v>3538</v>
      </c>
      <c r="J304" s="61" t="s">
        <v>250</v>
      </c>
      <c r="K304" s="4">
        <v>4496265</v>
      </c>
      <c r="L304" s="39">
        <v>110.26900000000001</v>
      </c>
      <c r="M304" s="4">
        <v>4962105</v>
      </c>
      <c r="N304" s="4">
        <v>4500000</v>
      </c>
      <c r="O304" s="4">
        <v>4496803</v>
      </c>
      <c r="P304" s="4">
        <v>0</v>
      </c>
      <c r="Q304" s="4">
        <v>538</v>
      </c>
      <c r="R304" s="4">
        <v>0</v>
      </c>
      <c r="S304" s="4">
        <v>0</v>
      </c>
      <c r="T304" s="23">
        <v>2.95</v>
      </c>
      <c r="U304" s="23">
        <v>2.968</v>
      </c>
      <c r="V304" s="5" t="s">
        <v>12</v>
      </c>
      <c r="W304" s="4">
        <v>35400</v>
      </c>
      <c r="X304" s="4">
        <v>66375</v>
      </c>
      <c r="Y304" s="11">
        <v>43910</v>
      </c>
      <c r="Z304" s="11">
        <v>45741</v>
      </c>
      <c r="AA304" s="2"/>
      <c r="AB304" s="63" t="s">
        <v>3840</v>
      </c>
      <c r="AC304" s="5" t="s">
        <v>4198</v>
      </c>
      <c r="AD304" s="2"/>
      <c r="AE304" s="9"/>
      <c r="AF304" s="23"/>
      <c r="AG304" s="6"/>
      <c r="AH304" s="5" t="s">
        <v>310</v>
      </c>
      <c r="AI304" s="5" t="s">
        <v>2486</v>
      </c>
      <c r="AJ304" s="5" t="s">
        <v>3</v>
      </c>
      <c r="AK304" s="16" t="s">
        <v>3</v>
      </c>
      <c r="AL304" s="65" t="s">
        <v>3842</v>
      </c>
      <c r="AM304" s="31" t="s">
        <v>1161</v>
      </c>
    </row>
    <row r="305" spans="2:39" x14ac:dyDescent="0.25">
      <c r="B305" s="18" t="s">
        <v>311</v>
      </c>
      <c r="C305" s="44" t="s">
        <v>3351</v>
      </c>
      <c r="D305" s="20" t="s">
        <v>60</v>
      </c>
      <c r="E305" s="67" t="s">
        <v>3</v>
      </c>
      <c r="F305" s="51" t="s">
        <v>3</v>
      </c>
      <c r="G305" s="37" t="s">
        <v>2715</v>
      </c>
      <c r="H305" s="68" t="s">
        <v>2715</v>
      </c>
      <c r="I305" s="62" t="s">
        <v>1358</v>
      </c>
      <c r="J305" s="61" t="s">
        <v>250</v>
      </c>
      <c r="K305" s="4">
        <v>10733200</v>
      </c>
      <c r="L305" s="39">
        <v>113.324</v>
      </c>
      <c r="M305" s="4">
        <v>11332400</v>
      </c>
      <c r="N305" s="4">
        <v>10000000</v>
      </c>
      <c r="O305" s="4">
        <v>10694560</v>
      </c>
      <c r="P305" s="4">
        <v>0</v>
      </c>
      <c r="Q305" s="4">
        <v>-38640</v>
      </c>
      <c r="R305" s="4">
        <v>0</v>
      </c>
      <c r="S305" s="4">
        <v>0</v>
      </c>
      <c r="T305" s="23">
        <v>3.25</v>
      </c>
      <c r="U305" s="23">
        <v>2.3980000000000001</v>
      </c>
      <c r="V305" s="5" t="s">
        <v>3312</v>
      </c>
      <c r="W305" s="4">
        <v>41528</v>
      </c>
      <c r="X305" s="4">
        <v>164306</v>
      </c>
      <c r="Y305" s="11">
        <v>43985</v>
      </c>
      <c r="Z305" s="11">
        <v>47618</v>
      </c>
      <c r="AA305" s="2"/>
      <c r="AB305" s="63" t="s">
        <v>3840</v>
      </c>
      <c r="AC305" s="5" t="s">
        <v>4198</v>
      </c>
      <c r="AD305" s="2"/>
      <c r="AE305" s="11">
        <v>47529</v>
      </c>
      <c r="AF305" s="23">
        <v>100</v>
      </c>
      <c r="AG305" s="11">
        <v>47529</v>
      </c>
      <c r="AH305" s="5" t="s">
        <v>3</v>
      </c>
      <c r="AI305" s="5" t="s">
        <v>3895</v>
      </c>
      <c r="AJ305" s="5" t="s">
        <v>928</v>
      </c>
      <c r="AK305" s="16" t="s">
        <v>3</v>
      </c>
      <c r="AL305" s="65" t="s">
        <v>3842</v>
      </c>
      <c r="AM305" s="31" t="s">
        <v>559</v>
      </c>
    </row>
    <row r="306" spans="2:39" x14ac:dyDescent="0.25">
      <c r="B306" s="18" t="s">
        <v>1384</v>
      </c>
      <c r="C306" s="44" t="s">
        <v>4249</v>
      </c>
      <c r="D306" s="20" t="s">
        <v>1696</v>
      </c>
      <c r="E306" s="67" t="s">
        <v>3</v>
      </c>
      <c r="F306" s="51" t="s">
        <v>3</v>
      </c>
      <c r="G306" s="37" t="s">
        <v>2715</v>
      </c>
      <c r="H306" s="68" t="s">
        <v>2715</v>
      </c>
      <c r="I306" s="62" t="s">
        <v>1358</v>
      </c>
      <c r="J306" s="61" t="s">
        <v>250</v>
      </c>
      <c r="K306" s="4">
        <v>5313850</v>
      </c>
      <c r="L306" s="39">
        <v>107.622</v>
      </c>
      <c r="M306" s="4">
        <v>5381100</v>
      </c>
      <c r="N306" s="4">
        <v>5000000</v>
      </c>
      <c r="O306" s="4">
        <v>5286706</v>
      </c>
      <c r="P306" s="4">
        <v>0</v>
      </c>
      <c r="Q306" s="4">
        <v>-27144</v>
      </c>
      <c r="R306" s="4">
        <v>0</v>
      </c>
      <c r="S306" s="4">
        <v>0</v>
      </c>
      <c r="T306" s="23">
        <v>2.35</v>
      </c>
      <c r="U306" s="23">
        <v>1.3180000000000001</v>
      </c>
      <c r="V306" s="5" t="s">
        <v>1982</v>
      </c>
      <c r="W306" s="4">
        <v>54181</v>
      </c>
      <c r="X306" s="4">
        <v>58750</v>
      </c>
      <c r="Y306" s="11">
        <v>43985</v>
      </c>
      <c r="Z306" s="11">
        <v>46402</v>
      </c>
      <c r="AA306" s="2"/>
      <c r="AB306" s="63" t="s">
        <v>3840</v>
      </c>
      <c r="AC306" s="5" t="s">
        <v>4198</v>
      </c>
      <c r="AD306" s="2"/>
      <c r="AE306" s="11">
        <v>46310</v>
      </c>
      <c r="AF306" s="23">
        <v>100</v>
      </c>
      <c r="AG306" s="10">
        <v>46310</v>
      </c>
      <c r="AH306" s="5" t="s">
        <v>2259</v>
      </c>
      <c r="AI306" s="5" t="s">
        <v>1696</v>
      </c>
      <c r="AJ306" s="5" t="s">
        <v>3</v>
      </c>
      <c r="AK306" s="16" t="s">
        <v>3</v>
      </c>
      <c r="AL306" s="65" t="s">
        <v>3842</v>
      </c>
      <c r="AM306" s="31" t="s">
        <v>559</v>
      </c>
    </row>
    <row r="307" spans="2:39" x14ac:dyDescent="0.25">
      <c r="B307" s="18" t="s">
        <v>2777</v>
      </c>
      <c r="C307" s="44" t="s">
        <v>3896</v>
      </c>
      <c r="D307" s="20" t="s">
        <v>4250</v>
      </c>
      <c r="E307" s="67" t="s">
        <v>3</v>
      </c>
      <c r="F307" s="51" t="s">
        <v>3</v>
      </c>
      <c r="G307" s="37" t="s">
        <v>2715</v>
      </c>
      <c r="H307" s="68" t="s">
        <v>2715</v>
      </c>
      <c r="I307" s="62" t="s">
        <v>1358</v>
      </c>
      <c r="J307" s="61" t="s">
        <v>250</v>
      </c>
      <c r="K307" s="4">
        <v>4993850</v>
      </c>
      <c r="L307" s="39">
        <v>114.80200000000001</v>
      </c>
      <c r="M307" s="4">
        <v>5740100</v>
      </c>
      <c r="N307" s="4">
        <v>5000000</v>
      </c>
      <c r="O307" s="4">
        <v>4995669</v>
      </c>
      <c r="P307" s="4">
        <v>0</v>
      </c>
      <c r="Q307" s="4">
        <v>806</v>
      </c>
      <c r="R307" s="4">
        <v>0</v>
      </c>
      <c r="S307" s="4">
        <v>0</v>
      </c>
      <c r="T307" s="23">
        <v>3.95</v>
      </c>
      <c r="U307" s="23">
        <v>3.97</v>
      </c>
      <c r="V307" s="5" t="s">
        <v>3843</v>
      </c>
      <c r="W307" s="4">
        <v>41694</v>
      </c>
      <c r="X307" s="4">
        <v>197500</v>
      </c>
      <c r="Y307" s="11">
        <v>43375</v>
      </c>
      <c r="Z307" s="11">
        <v>45945</v>
      </c>
      <c r="AA307" s="2"/>
      <c r="AB307" s="63" t="s">
        <v>3840</v>
      </c>
      <c r="AC307" s="5" t="s">
        <v>4198</v>
      </c>
      <c r="AD307" s="2"/>
      <c r="AE307" s="11">
        <v>45884</v>
      </c>
      <c r="AF307" s="23">
        <v>100</v>
      </c>
      <c r="AG307" s="9"/>
      <c r="AH307" s="5" t="s">
        <v>2259</v>
      </c>
      <c r="AI307" s="5" t="s">
        <v>1696</v>
      </c>
      <c r="AJ307" s="5" t="s">
        <v>312</v>
      </c>
      <c r="AK307" s="16" t="s">
        <v>3</v>
      </c>
      <c r="AL307" s="65" t="s">
        <v>3842</v>
      </c>
      <c r="AM307" s="31" t="s">
        <v>559</v>
      </c>
    </row>
    <row r="308" spans="2:39" x14ac:dyDescent="0.25">
      <c r="B308" s="18" t="s">
        <v>3897</v>
      </c>
      <c r="C308" s="44" t="s">
        <v>3585</v>
      </c>
      <c r="D308" s="20" t="s">
        <v>1696</v>
      </c>
      <c r="E308" s="67" t="s">
        <v>3</v>
      </c>
      <c r="F308" s="51" t="s">
        <v>3</v>
      </c>
      <c r="G308" s="37" t="s">
        <v>2715</v>
      </c>
      <c r="H308" s="68" t="s">
        <v>2715</v>
      </c>
      <c r="I308" s="62" t="s">
        <v>1358</v>
      </c>
      <c r="J308" s="61" t="s">
        <v>250</v>
      </c>
      <c r="K308" s="4">
        <v>1495995</v>
      </c>
      <c r="L308" s="39">
        <v>113.749</v>
      </c>
      <c r="M308" s="4">
        <v>1706235</v>
      </c>
      <c r="N308" s="4">
        <v>1500000</v>
      </c>
      <c r="O308" s="4">
        <v>1496391</v>
      </c>
      <c r="P308" s="4">
        <v>0</v>
      </c>
      <c r="Q308" s="4">
        <v>396</v>
      </c>
      <c r="R308" s="4">
        <v>0</v>
      </c>
      <c r="S308" s="4">
        <v>0</v>
      </c>
      <c r="T308" s="23">
        <v>3.3</v>
      </c>
      <c r="U308" s="23">
        <v>3.343</v>
      </c>
      <c r="V308" s="5" t="s">
        <v>3843</v>
      </c>
      <c r="W308" s="4">
        <v>12375</v>
      </c>
      <c r="X308" s="4">
        <v>25300</v>
      </c>
      <c r="Y308" s="11">
        <v>43914</v>
      </c>
      <c r="Z308" s="11">
        <v>46478</v>
      </c>
      <c r="AA308" s="2"/>
      <c r="AB308" s="63" t="s">
        <v>3840</v>
      </c>
      <c r="AC308" s="5" t="s">
        <v>4198</v>
      </c>
      <c r="AD308" s="2"/>
      <c r="AE308" s="11">
        <v>46419</v>
      </c>
      <c r="AF308" s="23">
        <v>100</v>
      </c>
      <c r="AG308" s="6"/>
      <c r="AH308" s="5" t="s">
        <v>2259</v>
      </c>
      <c r="AI308" s="5" t="s">
        <v>1696</v>
      </c>
      <c r="AJ308" s="5" t="s">
        <v>3</v>
      </c>
      <c r="AK308" s="16" t="s">
        <v>3</v>
      </c>
      <c r="AL308" s="65" t="s">
        <v>3842</v>
      </c>
      <c r="AM308" s="31" t="s">
        <v>559</v>
      </c>
    </row>
    <row r="309" spans="2:39" x14ac:dyDescent="0.25">
      <c r="B309" s="18" t="s">
        <v>602</v>
      </c>
      <c r="C309" s="44" t="s">
        <v>2260</v>
      </c>
      <c r="D309" s="20" t="s">
        <v>3113</v>
      </c>
      <c r="E309" s="67" t="s">
        <v>3</v>
      </c>
      <c r="F309" s="51" t="s">
        <v>3</v>
      </c>
      <c r="G309" s="37" t="s">
        <v>3</v>
      </c>
      <c r="H309" s="68" t="s">
        <v>2715</v>
      </c>
      <c r="I309" s="62" t="s">
        <v>1358</v>
      </c>
      <c r="J309" s="61" t="s">
        <v>250</v>
      </c>
      <c r="K309" s="4">
        <v>3746513</v>
      </c>
      <c r="L309" s="39">
        <v>106.49299999999999</v>
      </c>
      <c r="M309" s="4">
        <v>3993488</v>
      </c>
      <c r="N309" s="4">
        <v>3750000</v>
      </c>
      <c r="O309" s="4">
        <v>3747472</v>
      </c>
      <c r="P309" s="4">
        <v>0</v>
      </c>
      <c r="Q309" s="4">
        <v>670</v>
      </c>
      <c r="R309" s="4">
        <v>0</v>
      </c>
      <c r="S309" s="4">
        <v>0</v>
      </c>
      <c r="T309" s="23">
        <v>2.5</v>
      </c>
      <c r="U309" s="23">
        <v>2.52</v>
      </c>
      <c r="V309" s="5" t="s">
        <v>1982</v>
      </c>
      <c r="W309" s="4">
        <v>41146</v>
      </c>
      <c r="X309" s="4">
        <v>93750</v>
      </c>
      <c r="Y309" s="11">
        <v>43664</v>
      </c>
      <c r="Z309" s="11">
        <v>45496</v>
      </c>
      <c r="AA309" s="2"/>
      <c r="AB309" s="63" t="s">
        <v>3840</v>
      </c>
      <c r="AC309" s="5" t="s">
        <v>4198</v>
      </c>
      <c r="AD309" s="2"/>
      <c r="AE309" s="9"/>
      <c r="AF309" s="23"/>
      <c r="AG309" s="9"/>
      <c r="AH309" s="5" t="s">
        <v>1196</v>
      </c>
      <c r="AI309" s="5" t="s">
        <v>3113</v>
      </c>
      <c r="AJ309" s="5" t="s">
        <v>3</v>
      </c>
      <c r="AK309" s="16" t="s">
        <v>3</v>
      </c>
      <c r="AL309" s="65" t="s">
        <v>3842</v>
      </c>
      <c r="AM309" s="31" t="s">
        <v>559</v>
      </c>
    </row>
    <row r="310" spans="2:39" x14ac:dyDescent="0.25">
      <c r="B310" s="18" t="s">
        <v>1697</v>
      </c>
      <c r="C310" s="44" t="s">
        <v>313</v>
      </c>
      <c r="D310" s="20" t="s">
        <v>1385</v>
      </c>
      <c r="E310" s="67" t="s">
        <v>3</v>
      </c>
      <c r="F310" s="51" t="s">
        <v>3</v>
      </c>
      <c r="G310" s="37" t="s">
        <v>2715</v>
      </c>
      <c r="H310" s="68" t="s">
        <v>3842</v>
      </c>
      <c r="I310" s="62" t="s">
        <v>1157</v>
      </c>
      <c r="J310" s="61" t="s">
        <v>250</v>
      </c>
      <c r="K310" s="4">
        <v>5039770</v>
      </c>
      <c r="L310" s="39">
        <v>117.70699999999999</v>
      </c>
      <c r="M310" s="4">
        <v>5885350</v>
      </c>
      <c r="N310" s="4">
        <v>5000000</v>
      </c>
      <c r="O310" s="4">
        <v>5030173</v>
      </c>
      <c r="P310" s="4">
        <v>0</v>
      </c>
      <c r="Q310" s="4">
        <v>-5933</v>
      </c>
      <c r="R310" s="4">
        <v>0</v>
      </c>
      <c r="S310" s="4">
        <v>0</v>
      </c>
      <c r="T310" s="23">
        <v>4.5999999999999996</v>
      </c>
      <c r="U310" s="23">
        <v>4.4509999999999996</v>
      </c>
      <c r="V310" s="5" t="s">
        <v>3312</v>
      </c>
      <c r="W310" s="4">
        <v>38333</v>
      </c>
      <c r="X310" s="4">
        <v>230000</v>
      </c>
      <c r="Y310" s="11">
        <v>43553</v>
      </c>
      <c r="Z310" s="11">
        <v>45962</v>
      </c>
      <c r="AA310" s="2"/>
      <c r="AB310" s="63" t="s">
        <v>3840</v>
      </c>
      <c r="AC310" s="5" t="s">
        <v>4198</v>
      </c>
      <c r="AD310" s="2"/>
      <c r="AE310" s="10">
        <v>45901</v>
      </c>
      <c r="AF310" s="23">
        <v>100</v>
      </c>
      <c r="AG310" s="10">
        <v>45901</v>
      </c>
      <c r="AH310" s="5" t="s">
        <v>61</v>
      </c>
      <c r="AI310" s="5" t="s">
        <v>1385</v>
      </c>
      <c r="AJ310" s="5" t="s">
        <v>3</v>
      </c>
      <c r="AK310" s="16" t="s">
        <v>3</v>
      </c>
      <c r="AL310" s="65" t="s">
        <v>3842</v>
      </c>
      <c r="AM310" s="31" t="s">
        <v>926</v>
      </c>
    </row>
    <row r="311" spans="2:39" x14ac:dyDescent="0.25">
      <c r="B311" s="18" t="s">
        <v>2778</v>
      </c>
      <c r="C311" s="44" t="s">
        <v>603</v>
      </c>
      <c r="D311" s="20" t="s">
        <v>2487</v>
      </c>
      <c r="E311" s="67" t="s">
        <v>3</v>
      </c>
      <c r="F311" s="51" t="s">
        <v>3</v>
      </c>
      <c r="G311" s="37" t="s">
        <v>2715</v>
      </c>
      <c r="H311" s="68" t="s">
        <v>3842</v>
      </c>
      <c r="I311" s="62" t="s">
        <v>1157</v>
      </c>
      <c r="J311" s="61" t="s">
        <v>250</v>
      </c>
      <c r="K311" s="4">
        <v>3084120</v>
      </c>
      <c r="L311" s="39">
        <v>114.375</v>
      </c>
      <c r="M311" s="4">
        <v>3431250</v>
      </c>
      <c r="N311" s="4">
        <v>3000000</v>
      </c>
      <c r="O311" s="4">
        <v>3070879</v>
      </c>
      <c r="P311" s="4">
        <v>0</v>
      </c>
      <c r="Q311" s="4">
        <v>-9601</v>
      </c>
      <c r="R311" s="4">
        <v>0</v>
      </c>
      <c r="S311" s="4">
        <v>0</v>
      </c>
      <c r="T311" s="23">
        <v>3.75</v>
      </c>
      <c r="U311" s="23">
        <v>3.343</v>
      </c>
      <c r="V311" s="5" t="s">
        <v>3843</v>
      </c>
      <c r="W311" s="4">
        <v>28125</v>
      </c>
      <c r="X311" s="4">
        <v>112500</v>
      </c>
      <c r="Y311" s="11">
        <v>43683</v>
      </c>
      <c r="Z311" s="11">
        <v>46661</v>
      </c>
      <c r="AA311" s="2"/>
      <c r="AB311" s="63" t="s">
        <v>3840</v>
      </c>
      <c r="AC311" s="5" t="s">
        <v>4198</v>
      </c>
      <c r="AD311" s="2"/>
      <c r="AE311" s="11">
        <v>46569</v>
      </c>
      <c r="AF311" s="23">
        <v>100</v>
      </c>
      <c r="AG311" s="10">
        <v>46569</v>
      </c>
      <c r="AH311" s="5" t="s">
        <v>3586</v>
      </c>
      <c r="AI311" s="5" t="s">
        <v>2487</v>
      </c>
      <c r="AJ311" s="5" t="s">
        <v>3</v>
      </c>
      <c r="AK311" s="16" t="s">
        <v>3</v>
      </c>
      <c r="AL311" s="65" t="s">
        <v>3842</v>
      </c>
      <c r="AM311" s="31" t="s">
        <v>926</v>
      </c>
    </row>
    <row r="312" spans="2:39" x14ac:dyDescent="0.25">
      <c r="B312" s="18" t="s">
        <v>3898</v>
      </c>
      <c r="C312" s="44" t="s">
        <v>62</v>
      </c>
      <c r="D312" s="20" t="s">
        <v>3352</v>
      </c>
      <c r="E312" s="67" t="s">
        <v>3</v>
      </c>
      <c r="F312" s="51" t="s">
        <v>3</v>
      </c>
      <c r="G312" s="37" t="s">
        <v>3</v>
      </c>
      <c r="H312" s="68" t="s">
        <v>2715</v>
      </c>
      <c r="I312" s="62" t="s">
        <v>1358</v>
      </c>
      <c r="J312" s="61" t="s">
        <v>952</v>
      </c>
      <c r="K312" s="4">
        <v>4000000</v>
      </c>
      <c r="L312" s="39">
        <v>97.975999999999999</v>
      </c>
      <c r="M312" s="4">
        <v>3919040</v>
      </c>
      <c r="N312" s="4">
        <v>4000000</v>
      </c>
      <c r="O312" s="4">
        <v>4000000</v>
      </c>
      <c r="P312" s="4">
        <v>0</v>
      </c>
      <c r="Q312" s="4">
        <v>0</v>
      </c>
      <c r="R312" s="4">
        <v>0</v>
      </c>
      <c r="S312" s="4">
        <v>0</v>
      </c>
      <c r="T312" s="23">
        <v>2.02</v>
      </c>
      <c r="U312" s="23">
        <v>2.02</v>
      </c>
      <c r="V312" s="5" t="s">
        <v>3844</v>
      </c>
      <c r="W312" s="4">
        <v>3591</v>
      </c>
      <c r="X312" s="4">
        <v>0</v>
      </c>
      <c r="Y312" s="11">
        <v>44096</v>
      </c>
      <c r="Z312" s="11">
        <v>47832</v>
      </c>
      <c r="AA312" s="2"/>
      <c r="AB312" s="63" t="s">
        <v>1684</v>
      </c>
      <c r="AC312" s="5" t="s">
        <v>3</v>
      </c>
      <c r="AD312" s="2"/>
      <c r="AE312" s="9"/>
      <c r="AF312" s="23"/>
      <c r="AG312" s="6"/>
      <c r="AH312" s="5" t="s">
        <v>2261</v>
      </c>
      <c r="AI312" s="5" t="s">
        <v>3353</v>
      </c>
      <c r="AJ312" s="5" t="s">
        <v>3354</v>
      </c>
      <c r="AK312" s="16" t="s">
        <v>3</v>
      </c>
      <c r="AL312" s="65" t="s">
        <v>3842</v>
      </c>
      <c r="AM312" s="31" t="s">
        <v>1381</v>
      </c>
    </row>
    <row r="313" spans="2:39" x14ac:dyDescent="0.25">
      <c r="B313" s="18" t="s">
        <v>604</v>
      </c>
      <c r="C313" s="44" t="s">
        <v>957</v>
      </c>
      <c r="D313" s="20" t="s">
        <v>3114</v>
      </c>
      <c r="E313" s="67" t="s">
        <v>3</v>
      </c>
      <c r="F313" s="51" t="s">
        <v>3</v>
      </c>
      <c r="G313" s="37" t="s">
        <v>3</v>
      </c>
      <c r="H313" s="68" t="s">
        <v>3842</v>
      </c>
      <c r="I313" s="62" t="s">
        <v>1157</v>
      </c>
      <c r="J313" s="61" t="s">
        <v>250</v>
      </c>
      <c r="K313" s="4">
        <v>5206250</v>
      </c>
      <c r="L313" s="39">
        <v>109.003</v>
      </c>
      <c r="M313" s="4">
        <v>5450150</v>
      </c>
      <c r="N313" s="4">
        <v>5000000</v>
      </c>
      <c r="O313" s="4">
        <v>5080131</v>
      </c>
      <c r="P313" s="4">
        <v>0</v>
      </c>
      <c r="Q313" s="4">
        <v>-32404</v>
      </c>
      <c r="R313" s="4">
        <v>0</v>
      </c>
      <c r="S313" s="4">
        <v>0</v>
      </c>
      <c r="T313" s="23">
        <v>4.25</v>
      </c>
      <c r="U313" s="23">
        <v>3.528</v>
      </c>
      <c r="V313" s="5" t="s">
        <v>3312</v>
      </c>
      <c r="W313" s="4">
        <v>35417</v>
      </c>
      <c r="X313" s="4">
        <v>212500</v>
      </c>
      <c r="Y313" s="11">
        <v>42691</v>
      </c>
      <c r="Z313" s="11">
        <v>45047</v>
      </c>
      <c r="AA313" s="2"/>
      <c r="AB313" s="63" t="s">
        <v>3840</v>
      </c>
      <c r="AC313" s="5" t="s">
        <v>4198</v>
      </c>
      <c r="AD313" s="2"/>
      <c r="AE313" s="9"/>
      <c r="AF313" s="23"/>
      <c r="AG313" s="6"/>
      <c r="AH313" s="5" t="s">
        <v>2032</v>
      </c>
      <c r="AI313" s="5" t="s">
        <v>3114</v>
      </c>
      <c r="AJ313" s="5" t="s">
        <v>3</v>
      </c>
      <c r="AK313" s="16" t="s">
        <v>3</v>
      </c>
      <c r="AL313" s="65" t="s">
        <v>2715</v>
      </c>
      <c r="AM313" s="31" t="s">
        <v>926</v>
      </c>
    </row>
    <row r="314" spans="2:39" x14ac:dyDescent="0.25">
      <c r="B314" s="18" t="s">
        <v>2488</v>
      </c>
      <c r="C314" s="44" t="s">
        <v>63</v>
      </c>
      <c r="D314" s="20" t="s">
        <v>3114</v>
      </c>
      <c r="E314" s="67" t="s">
        <v>3</v>
      </c>
      <c r="F314" s="51" t="s">
        <v>3</v>
      </c>
      <c r="G314" s="37" t="s">
        <v>2715</v>
      </c>
      <c r="H314" s="68" t="s">
        <v>3842</v>
      </c>
      <c r="I314" s="62" t="s">
        <v>1157</v>
      </c>
      <c r="J314" s="61" t="s">
        <v>250</v>
      </c>
      <c r="K314" s="4">
        <v>4989100</v>
      </c>
      <c r="L314" s="39">
        <v>102.85299999999999</v>
      </c>
      <c r="M314" s="4">
        <v>5142650</v>
      </c>
      <c r="N314" s="4">
        <v>5000000</v>
      </c>
      <c r="O314" s="4">
        <v>4996898</v>
      </c>
      <c r="P314" s="4">
        <v>0</v>
      </c>
      <c r="Q314" s="4">
        <v>2217</v>
      </c>
      <c r="R314" s="4">
        <v>0</v>
      </c>
      <c r="S314" s="4">
        <v>0</v>
      </c>
      <c r="T314" s="23">
        <v>2.7</v>
      </c>
      <c r="U314" s="23">
        <v>2.7469999999999999</v>
      </c>
      <c r="V314" s="5" t="s">
        <v>3312</v>
      </c>
      <c r="W314" s="4">
        <v>19500</v>
      </c>
      <c r="X314" s="4">
        <v>135000</v>
      </c>
      <c r="Y314" s="11">
        <v>42857</v>
      </c>
      <c r="Z314" s="11">
        <v>44690</v>
      </c>
      <c r="AA314" s="2"/>
      <c r="AB314" s="63" t="s">
        <v>3840</v>
      </c>
      <c r="AC314" s="5" t="s">
        <v>4198</v>
      </c>
      <c r="AD314" s="2"/>
      <c r="AE314" s="11">
        <v>44660</v>
      </c>
      <c r="AF314" s="23">
        <v>100</v>
      </c>
      <c r="AG314" s="6"/>
      <c r="AH314" s="5" t="s">
        <v>2032</v>
      </c>
      <c r="AI314" s="5" t="s">
        <v>3114</v>
      </c>
      <c r="AJ314" s="5" t="s">
        <v>3</v>
      </c>
      <c r="AK314" s="16" t="s">
        <v>3</v>
      </c>
      <c r="AL314" s="65" t="s">
        <v>3842</v>
      </c>
      <c r="AM314" s="31" t="s">
        <v>926</v>
      </c>
    </row>
    <row r="315" spans="2:39" x14ac:dyDescent="0.25">
      <c r="B315" s="18" t="s">
        <v>3587</v>
      </c>
      <c r="C315" s="44" t="s">
        <v>1197</v>
      </c>
      <c r="D315" s="20" t="s">
        <v>2033</v>
      </c>
      <c r="E315" s="67" t="s">
        <v>3</v>
      </c>
      <c r="F315" s="51" t="s">
        <v>3</v>
      </c>
      <c r="G315" s="37" t="s">
        <v>2715</v>
      </c>
      <c r="H315" s="68" t="s">
        <v>929</v>
      </c>
      <c r="I315" s="62" t="s">
        <v>3310</v>
      </c>
      <c r="J315" s="61" t="s">
        <v>250</v>
      </c>
      <c r="K315" s="4">
        <v>7042970</v>
      </c>
      <c r="L315" s="39">
        <v>103.169</v>
      </c>
      <c r="M315" s="4">
        <v>7221830</v>
      </c>
      <c r="N315" s="4">
        <v>7000000</v>
      </c>
      <c r="O315" s="4">
        <v>7029425</v>
      </c>
      <c r="P315" s="4">
        <v>0</v>
      </c>
      <c r="Q315" s="4">
        <v>-8525</v>
      </c>
      <c r="R315" s="4">
        <v>0</v>
      </c>
      <c r="S315" s="4">
        <v>0</v>
      </c>
      <c r="T315" s="23">
        <v>3.8</v>
      </c>
      <c r="U315" s="23">
        <v>3.6589999999999998</v>
      </c>
      <c r="V315" s="5" t="s">
        <v>3844</v>
      </c>
      <c r="W315" s="4">
        <v>22167</v>
      </c>
      <c r="X315" s="4">
        <v>266000</v>
      </c>
      <c r="Y315" s="11">
        <v>43616</v>
      </c>
      <c r="Z315" s="11">
        <v>45444</v>
      </c>
      <c r="AA315" s="2"/>
      <c r="AB315" s="63" t="s">
        <v>3840</v>
      </c>
      <c r="AC315" s="5" t="s">
        <v>4198</v>
      </c>
      <c r="AD315" s="2"/>
      <c r="AE315" s="11">
        <v>45352</v>
      </c>
      <c r="AF315" s="23">
        <v>100</v>
      </c>
      <c r="AG315" s="11">
        <v>45352</v>
      </c>
      <c r="AH315" s="5" t="s">
        <v>1698</v>
      </c>
      <c r="AI315" s="5" t="s">
        <v>2033</v>
      </c>
      <c r="AJ315" s="5" t="s">
        <v>3</v>
      </c>
      <c r="AK315" s="16" t="s">
        <v>3</v>
      </c>
      <c r="AL315" s="65" t="s">
        <v>3842</v>
      </c>
      <c r="AM315" s="31" t="s">
        <v>933</v>
      </c>
    </row>
    <row r="316" spans="2:39" x14ac:dyDescent="0.25">
      <c r="B316" s="18" t="s">
        <v>605</v>
      </c>
      <c r="C316" s="44" t="s">
        <v>2262</v>
      </c>
      <c r="D316" s="20" t="s">
        <v>2489</v>
      </c>
      <c r="E316" s="67" t="s">
        <v>3</v>
      </c>
      <c r="F316" s="51" t="s">
        <v>3</v>
      </c>
      <c r="G316" s="37" t="s">
        <v>2715</v>
      </c>
      <c r="H316" s="68" t="s">
        <v>929</v>
      </c>
      <c r="I316" s="62" t="s">
        <v>3310</v>
      </c>
      <c r="J316" s="61" t="s">
        <v>250</v>
      </c>
      <c r="K316" s="4">
        <v>960000</v>
      </c>
      <c r="L316" s="39">
        <v>102.446</v>
      </c>
      <c r="M316" s="4">
        <v>1024460</v>
      </c>
      <c r="N316" s="4">
        <v>1000000</v>
      </c>
      <c r="O316" s="4">
        <v>961746</v>
      </c>
      <c r="P316" s="4">
        <v>0</v>
      </c>
      <c r="Q316" s="4">
        <v>1746</v>
      </c>
      <c r="R316" s="4">
        <v>0</v>
      </c>
      <c r="S316" s="4">
        <v>0</v>
      </c>
      <c r="T316" s="23">
        <v>4.375</v>
      </c>
      <c r="U316" s="23">
        <v>5.0270000000000001</v>
      </c>
      <c r="V316" s="5" t="s">
        <v>1982</v>
      </c>
      <c r="W316" s="4">
        <v>20174</v>
      </c>
      <c r="X316" s="4">
        <v>0</v>
      </c>
      <c r="Y316" s="11">
        <v>44055</v>
      </c>
      <c r="Z316" s="11">
        <v>46767</v>
      </c>
      <c r="AA316" s="2"/>
      <c r="AB316" s="63" t="s">
        <v>3840</v>
      </c>
      <c r="AC316" s="5" t="s">
        <v>4198</v>
      </c>
      <c r="AD316" s="2"/>
      <c r="AE316" s="11">
        <v>46675</v>
      </c>
      <c r="AF316" s="23">
        <v>100</v>
      </c>
      <c r="AG316" s="6"/>
      <c r="AH316" s="5" t="s">
        <v>1698</v>
      </c>
      <c r="AI316" s="5" t="s">
        <v>2489</v>
      </c>
      <c r="AJ316" s="5" t="s">
        <v>3</v>
      </c>
      <c r="AK316" s="16" t="s">
        <v>3</v>
      </c>
      <c r="AL316" s="65" t="s">
        <v>3842</v>
      </c>
      <c r="AM316" s="31" t="s">
        <v>933</v>
      </c>
    </row>
    <row r="317" spans="2:39" x14ac:dyDescent="0.25">
      <c r="B317" s="18" t="s">
        <v>1699</v>
      </c>
      <c r="C317" s="44" t="s">
        <v>314</v>
      </c>
      <c r="D317" s="20" t="s">
        <v>1700</v>
      </c>
      <c r="E317" s="67" t="s">
        <v>3</v>
      </c>
      <c r="F317" s="51" t="s">
        <v>3</v>
      </c>
      <c r="G317" s="37" t="s">
        <v>2715</v>
      </c>
      <c r="H317" s="68" t="s">
        <v>3842</v>
      </c>
      <c r="I317" s="62" t="s">
        <v>3310</v>
      </c>
      <c r="J317" s="61" t="s">
        <v>250</v>
      </c>
      <c r="K317" s="4">
        <v>7891430</v>
      </c>
      <c r="L317" s="39">
        <v>102.8</v>
      </c>
      <c r="M317" s="4">
        <v>8224000</v>
      </c>
      <c r="N317" s="4">
        <v>8000000</v>
      </c>
      <c r="O317" s="4">
        <v>7974718</v>
      </c>
      <c r="P317" s="4">
        <v>0</v>
      </c>
      <c r="Q317" s="4">
        <v>17668</v>
      </c>
      <c r="R317" s="4">
        <v>0</v>
      </c>
      <c r="S317" s="4">
        <v>0</v>
      </c>
      <c r="T317" s="23">
        <v>2.9</v>
      </c>
      <c r="U317" s="23">
        <v>3.137</v>
      </c>
      <c r="V317" s="5" t="s">
        <v>3312</v>
      </c>
      <c r="W317" s="4">
        <v>29644</v>
      </c>
      <c r="X317" s="4">
        <v>232000</v>
      </c>
      <c r="Y317" s="11">
        <v>42509</v>
      </c>
      <c r="Z317" s="11">
        <v>44696</v>
      </c>
      <c r="AA317" s="2"/>
      <c r="AB317" s="63" t="s">
        <v>3840</v>
      </c>
      <c r="AC317" s="5" t="s">
        <v>4198</v>
      </c>
      <c r="AD317" s="2"/>
      <c r="AE317" s="11">
        <v>44635</v>
      </c>
      <c r="AF317" s="23">
        <v>100</v>
      </c>
      <c r="AG317" s="10">
        <v>44635</v>
      </c>
      <c r="AH317" s="5" t="s">
        <v>1701</v>
      </c>
      <c r="AI317" s="5" t="s">
        <v>1700</v>
      </c>
      <c r="AJ317" s="5" t="s">
        <v>3</v>
      </c>
      <c r="AK317" s="16" t="s">
        <v>3</v>
      </c>
      <c r="AL317" s="65" t="s">
        <v>3842</v>
      </c>
      <c r="AM317" s="31" t="s">
        <v>1651</v>
      </c>
    </row>
    <row r="318" spans="2:39" x14ac:dyDescent="0.25">
      <c r="B318" s="18" t="s">
        <v>2779</v>
      </c>
      <c r="C318" s="44" t="s">
        <v>2034</v>
      </c>
      <c r="D318" s="20" t="s">
        <v>315</v>
      </c>
      <c r="E318" s="67" t="s">
        <v>3</v>
      </c>
      <c r="F318" s="51" t="s">
        <v>3</v>
      </c>
      <c r="G318" s="37" t="s">
        <v>2715</v>
      </c>
      <c r="H318" s="68" t="s">
        <v>3842</v>
      </c>
      <c r="I318" s="62" t="s">
        <v>10</v>
      </c>
      <c r="J318" s="61" t="s">
        <v>250</v>
      </c>
      <c r="K318" s="4">
        <v>3031560</v>
      </c>
      <c r="L318" s="39">
        <v>112.2</v>
      </c>
      <c r="M318" s="4">
        <v>3366000</v>
      </c>
      <c r="N318" s="4">
        <v>3000000</v>
      </c>
      <c r="O318" s="4">
        <v>3025432</v>
      </c>
      <c r="P318" s="4">
        <v>0</v>
      </c>
      <c r="Q318" s="4">
        <v>-4191</v>
      </c>
      <c r="R318" s="4">
        <v>0</v>
      </c>
      <c r="S318" s="4">
        <v>0</v>
      </c>
      <c r="T318" s="23">
        <v>3.35</v>
      </c>
      <c r="U318" s="23">
        <v>3.18</v>
      </c>
      <c r="V318" s="5" t="s">
        <v>12</v>
      </c>
      <c r="W318" s="4">
        <v>29592</v>
      </c>
      <c r="X318" s="4">
        <v>100500</v>
      </c>
      <c r="Y318" s="11">
        <v>43644</v>
      </c>
      <c r="Z318" s="11">
        <v>46280</v>
      </c>
      <c r="AA318" s="2"/>
      <c r="AB318" s="63" t="s">
        <v>3840</v>
      </c>
      <c r="AC318" s="5" t="s">
        <v>4198</v>
      </c>
      <c r="AD318" s="2"/>
      <c r="AE318" s="11">
        <v>46188</v>
      </c>
      <c r="AF318" s="23">
        <v>100</v>
      </c>
      <c r="AG318" s="10">
        <v>46188</v>
      </c>
      <c r="AH318" s="5" t="s">
        <v>3588</v>
      </c>
      <c r="AI318" s="5" t="s">
        <v>64</v>
      </c>
      <c r="AJ318" s="5" t="s">
        <v>928</v>
      </c>
      <c r="AK318" s="16" t="s">
        <v>3</v>
      </c>
      <c r="AL318" s="65" t="s">
        <v>3842</v>
      </c>
      <c r="AM318" s="31" t="s">
        <v>1176</v>
      </c>
    </row>
    <row r="319" spans="2:39" x14ac:dyDescent="0.25">
      <c r="B319" s="18" t="s">
        <v>3899</v>
      </c>
      <c r="C319" s="44" t="s">
        <v>4251</v>
      </c>
      <c r="D319" s="20" t="s">
        <v>315</v>
      </c>
      <c r="E319" s="67" t="s">
        <v>3</v>
      </c>
      <c r="F319" s="51" t="s">
        <v>3</v>
      </c>
      <c r="G319" s="37" t="s">
        <v>2715</v>
      </c>
      <c r="H319" s="68" t="s">
        <v>3842</v>
      </c>
      <c r="I319" s="62" t="s">
        <v>10</v>
      </c>
      <c r="J319" s="61" t="s">
        <v>250</v>
      </c>
      <c r="K319" s="4">
        <v>13636715</v>
      </c>
      <c r="L319" s="39">
        <v>108.29300000000001</v>
      </c>
      <c r="M319" s="4">
        <v>15161020</v>
      </c>
      <c r="N319" s="4">
        <v>14000000</v>
      </c>
      <c r="O319" s="4">
        <v>13764952</v>
      </c>
      <c r="P319" s="4">
        <v>0</v>
      </c>
      <c r="Q319" s="4">
        <v>59029</v>
      </c>
      <c r="R319" s="4">
        <v>0</v>
      </c>
      <c r="S319" s="4">
        <v>0</v>
      </c>
      <c r="T319" s="23">
        <v>3.15</v>
      </c>
      <c r="U319" s="23">
        <v>3.6459999999999999</v>
      </c>
      <c r="V319" s="5" t="s">
        <v>248</v>
      </c>
      <c r="W319" s="4">
        <v>166600</v>
      </c>
      <c r="X319" s="4">
        <v>441000</v>
      </c>
      <c r="Y319" s="11">
        <v>43551</v>
      </c>
      <c r="Z319" s="11">
        <v>45519</v>
      </c>
      <c r="AA319" s="2"/>
      <c r="AB319" s="63" t="s">
        <v>3840</v>
      </c>
      <c r="AC319" s="5" t="s">
        <v>4198</v>
      </c>
      <c r="AD319" s="2"/>
      <c r="AE319" s="11">
        <v>45458</v>
      </c>
      <c r="AF319" s="23">
        <v>100</v>
      </c>
      <c r="AG319" s="6"/>
      <c r="AH319" s="5" t="s">
        <v>3588</v>
      </c>
      <c r="AI319" s="5" t="s">
        <v>64</v>
      </c>
      <c r="AJ319" s="5" t="s">
        <v>928</v>
      </c>
      <c r="AK319" s="16" t="s">
        <v>3</v>
      </c>
      <c r="AL319" s="65" t="s">
        <v>3842</v>
      </c>
      <c r="AM319" s="31" t="s">
        <v>1176</v>
      </c>
    </row>
    <row r="320" spans="2:39" x14ac:dyDescent="0.25">
      <c r="B320" s="18" t="s">
        <v>606</v>
      </c>
      <c r="C320" s="44" t="s">
        <v>3900</v>
      </c>
      <c r="D320" s="20" t="s">
        <v>3355</v>
      </c>
      <c r="E320" s="67" t="s">
        <v>3</v>
      </c>
      <c r="F320" s="51" t="s">
        <v>3</v>
      </c>
      <c r="G320" s="37" t="s">
        <v>2715</v>
      </c>
      <c r="H320" s="68" t="s">
        <v>3842</v>
      </c>
      <c r="I320" s="62" t="s">
        <v>1157</v>
      </c>
      <c r="J320" s="61" t="s">
        <v>250</v>
      </c>
      <c r="K320" s="4">
        <v>3797080</v>
      </c>
      <c r="L320" s="39">
        <v>108.75</v>
      </c>
      <c r="M320" s="4">
        <v>4350000</v>
      </c>
      <c r="N320" s="4">
        <v>4000000</v>
      </c>
      <c r="O320" s="4">
        <v>3866078</v>
      </c>
      <c r="P320" s="4">
        <v>0</v>
      </c>
      <c r="Q320" s="4">
        <v>33134</v>
      </c>
      <c r="R320" s="4">
        <v>0</v>
      </c>
      <c r="S320" s="4">
        <v>0</v>
      </c>
      <c r="T320" s="23">
        <v>3.2</v>
      </c>
      <c r="U320" s="23">
        <v>4.1950000000000003</v>
      </c>
      <c r="V320" s="5" t="s">
        <v>12</v>
      </c>
      <c r="W320" s="4">
        <v>42667</v>
      </c>
      <c r="X320" s="4">
        <v>128000</v>
      </c>
      <c r="Y320" s="11">
        <v>43418</v>
      </c>
      <c r="Z320" s="11">
        <v>45536</v>
      </c>
      <c r="AA320" s="2"/>
      <c r="AB320" s="63" t="s">
        <v>3840</v>
      </c>
      <c r="AC320" s="5" t="s">
        <v>4198</v>
      </c>
      <c r="AD320" s="2"/>
      <c r="AE320" s="11">
        <v>45474</v>
      </c>
      <c r="AF320" s="23">
        <v>100</v>
      </c>
      <c r="AG320" s="6"/>
      <c r="AH320" s="5" t="s">
        <v>607</v>
      </c>
      <c r="AI320" s="5" t="s">
        <v>3355</v>
      </c>
      <c r="AJ320" s="5" t="s">
        <v>3</v>
      </c>
      <c r="AK320" s="16" t="s">
        <v>3</v>
      </c>
      <c r="AL320" s="65" t="s">
        <v>3842</v>
      </c>
      <c r="AM320" s="31" t="s">
        <v>926</v>
      </c>
    </row>
    <row r="321" spans="2:39" x14ac:dyDescent="0.25">
      <c r="B321" s="18" t="s">
        <v>1702</v>
      </c>
      <c r="C321" s="44" t="s">
        <v>2780</v>
      </c>
      <c r="D321" s="20" t="s">
        <v>2781</v>
      </c>
      <c r="E321" s="67" t="s">
        <v>3</v>
      </c>
      <c r="F321" s="51" t="s">
        <v>3</v>
      </c>
      <c r="G321" s="37" t="s">
        <v>3</v>
      </c>
      <c r="H321" s="68" t="s">
        <v>3842</v>
      </c>
      <c r="I321" s="62" t="s">
        <v>10</v>
      </c>
      <c r="J321" s="61" t="s">
        <v>250</v>
      </c>
      <c r="K321" s="4">
        <v>3498845</v>
      </c>
      <c r="L321" s="39">
        <v>106.794</v>
      </c>
      <c r="M321" s="4">
        <v>3737790</v>
      </c>
      <c r="N321" s="4">
        <v>3500000</v>
      </c>
      <c r="O321" s="4">
        <v>3499127</v>
      </c>
      <c r="P321" s="4">
        <v>0</v>
      </c>
      <c r="Q321" s="4">
        <v>219</v>
      </c>
      <c r="R321" s="4">
        <v>0</v>
      </c>
      <c r="S321" s="4">
        <v>0</v>
      </c>
      <c r="T321" s="23">
        <v>2.5289999999999999</v>
      </c>
      <c r="U321" s="23">
        <v>2.536</v>
      </c>
      <c r="V321" s="5" t="s">
        <v>3843</v>
      </c>
      <c r="W321" s="4">
        <v>22129</v>
      </c>
      <c r="X321" s="4">
        <v>88515</v>
      </c>
      <c r="Y321" s="11">
        <v>43685</v>
      </c>
      <c r="Z321" s="11">
        <v>45566</v>
      </c>
      <c r="AA321" s="2"/>
      <c r="AB321" s="63" t="s">
        <v>3840</v>
      </c>
      <c r="AC321" s="5" t="s">
        <v>4198</v>
      </c>
      <c r="AD321" s="2"/>
      <c r="AE321" s="9"/>
      <c r="AF321" s="23"/>
      <c r="AG321" s="6"/>
      <c r="AH321" s="5" t="s">
        <v>3</v>
      </c>
      <c r="AI321" s="5" t="s">
        <v>2781</v>
      </c>
      <c r="AJ321" s="5" t="s">
        <v>3</v>
      </c>
      <c r="AK321" s="16" t="s">
        <v>3</v>
      </c>
      <c r="AL321" s="65" t="s">
        <v>3842</v>
      </c>
      <c r="AM321" s="31" t="s">
        <v>1176</v>
      </c>
    </row>
    <row r="322" spans="2:39" x14ac:dyDescent="0.25">
      <c r="B322" s="18" t="s">
        <v>2782</v>
      </c>
      <c r="C322" s="44" t="s">
        <v>3356</v>
      </c>
      <c r="D322" s="20" t="s">
        <v>2263</v>
      </c>
      <c r="E322" s="67" t="s">
        <v>3</v>
      </c>
      <c r="F322" s="51" t="s">
        <v>3</v>
      </c>
      <c r="G322" s="37" t="s">
        <v>2715</v>
      </c>
      <c r="H322" s="68" t="s">
        <v>3842</v>
      </c>
      <c r="I322" s="62" t="s">
        <v>10</v>
      </c>
      <c r="J322" s="61" t="s">
        <v>250</v>
      </c>
      <c r="K322" s="4">
        <v>2996520</v>
      </c>
      <c r="L322" s="39">
        <v>106.869</v>
      </c>
      <c r="M322" s="4">
        <v>3206070</v>
      </c>
      <c r="N322" s="4">
        <v>3000000</v>
      </c>
      <c r="O322" s="4">
        <v>2997280</v>
      </c>
      <c r="P322" s="4">
        <v>0</v>
      </c>
      <c r="Q322" s="4">
        <v>760</v>
      </c>
      <c r="R322" s="4">
        <v>0</v>
      </c>
      <c r="S322" s="4">
        <v>0</v>
      </c>
      <c r="T322" s="23">
        <v>4</v>
      </c>
      <c r="U322" s="23">
        <v>4.0419999999999998</v>
      </c>
      <c r="V322" s="5" t="s">
        <v>3843</v>
      </c>
      <c r="W322" s="4">
        <v>25333</v>
      </c>
      <c r="X322" s="4">
        <v>58000</v>
      </c>
      <c r="Y322" s="11">
        <v>43935</v>
      </c>
      <c r="Z322" s="11">
        <v>45031</v>
      </c>
      <c r="AA322" s="2"/>
      <c r="AB322" s="63" t="s">
        <v>3840</v>
      </c>
      <c r="AC322" s="5" t="s">
        <v>4198</v>
      </c>
      <c r="AD322" s="2"/>
      <c r="AE322" s="9"/>
      <c r="AF322" s="23"/>
      <c r="AG322" s="6"/>
      <c r="AH322" s="5" t="s">
        <v>2035</v>
      </c>
      <c r="AI322" s="5" t="s">
        <v>2263</v>
      </c>
      <c r="AJ322" s="5" t="s">
        <v>3</v>
      </c>
      <c r="AK322" s="16" t="s">
        <v>3</v>
      </c>
      <c r="AL322" s="65" t="s">
        <v>3842</v>
      </c>
      <c r="AM322" s="31" t="s">
        <v>1176</v>
      </c>
    </row>
    <row r="323" spans="2:39" x14ac:dyDescent="0.25">
      <c r="B323" s="18" t="s">
        <v>3901</v>
      </c>
      <c r="C323" s="44" t="s">
        <v>65</v>
      </c>
      <c r="D323" s="20" t="s">
        <v>316</v>
      </c>
      <c r="E323" s="67" t="s">
        <v>3</v>
      </c>
      <c r="F323" s="51" t="s">
        <v>3</v>
      </c>
      <c r="G323" s="37" t="s">
        <v>3</v>
      </c>
      <c r="H323" s="68" t="s">
        <v>3842</v>
      </c>
      <c r="I323" s="62" t="s">
        <v>3310</v>
      </c>
      <c r="J323" s="61" t="s">
        <v>250</v>
      </c>
      <c r="K323" s="4">
        <v>3402105</v>
      </c>
      <c r="L323" s="39">
        <v>108.504</v>
      </c>
      <c r="M323" s="4">
        <v>3797640</v>
      </c>
      <c r="N323" s="4">
        <v>3500000</v>
      </c>
      <c r="O323" s="4">
        <v>3439696</v>
      </c>
      <c r="P323" s="4">
        <v>0</v>
      </c>
      <c r="Q323" s="4">
        <v>15441</v>
      </c>
      <c r="R323" s="4">
        <v>0</v>
      </c>
      <c r="S323" s="4">
        <v>0</v>
      </c>
      <c r="T323" s="23">
        <v>3.25</v>
      </c>
      <c r="U323" s="23">
        <v>3.7690000000000001</v>
      </c>
      <c r="V323" s="5" t="s">
        <v>248</v>
      </c>
      <c r="W323" s="4">
        <v>47396</v>
      </c>
      <c r="X323" s="4">
        <v>113750</v>
      </c>
      <c r="Y323" s="11">
        <v>43278</v>
      </c>
      <c r="Z323" s="11">
        <v>45505</v>
      </c>
      <c r="AA323" s="2"/>
      <c r="AB323" s="63" t="s">
        <v>3840</v>
      </c>
      <c r="AC323" s="5" t="s">
        <v>4198</v>
      </c>
      <c r="AD323" s="2"/>
      <c r="AE323" s="9"/>
      <c r="AF323" s="23"/>
      <c r="AG323" s="9"/>
      <c r="AH323" s="5" t="s">
        <v>2783</v>
      </c>
      <c r="AI323" s="5" t="s">
        <v>316</v>
      </c>
      <c r="AJ323" s="5" t="s">
        <v>3</v>
      </c>
      <c r="AK323" s="16" t="s">
        <v>3</v>
      </c>
      <c r="AL323" s="65" t="s">
        <v>3842</v>
      </c>
      <c r="AM323" s="31" t="s">
        <v>1651</v>
      </c>
    </row>
    <row r="324" spans="2:39" x14ac:dyDescent="0.25">
      <c r="B324" s="18" t="s">
        <v>1703</v>
      </c>
      <c r="C324" s="44" t="s">
        <v>608</v>
      </c>
      <c r="D324" s="20" t="s">
        <v>958</v>
      </c>
      <c r="E324" s="67" t="s">
        <v>3</v>
      </c>
      <c r="F324" s="51" t="s">
        <v>3</v>
      </c>
      <c r="G324" s="37" t="s">
        <v>2715</v>
      </c>
      <c r="H324" s="68" t="s">
        <v>3842</v>
      </c>
      <c r="I324" s="62" t="s">
        <v>3310</v>
      </c>
      <c r="J324" s="61" t="s">
        <v>250</v>
      </c>
      <c r="K324" s="4">
        <v>5360100</v>
      </c>
      <c r="L324" s="39">
        <v>110.624</v>
      </c>
      <c r="M324" s="4">
        <v>5531200</v>
      </c>
      <c r="N324" s="4">
        <v>5000000</v>
      </c>
      <c r="O324" s="4">
        <v>5345510</v>
      </c>
      <c r="P324" s="4">
        <v>0</v>
      </c>
      <c r="Q324" s="4">
        <v>-14590</v>
      </c>
      <c r="R324" s="4">
        <v>0</v>
      </c>
      <c r="S324" s="4">
        <v>0</v>
      </c>
      <c r="T324" s="23">
        <v>3.1</v>
      </c>
      <c r="U324" s="23">
        <v>2.2149999999999999</v>
      </c>
      <c r="V324" s="5" t="s">
        <v>248</v>
      </c>
      <c r="W324" s="4">
        <v>58556</v>
      </c>
      <c r="X324" s="4">
        <v>77500</v>
      </c>
      <c r="Y324" s="11">
        <v>44047</v>
      </c>
      <c r="Z324" s="11">
        <v>47345</v>
      </c>
      <c r="AA324" s="2"/>
      <c r="AB324" s="63" t="s">
        <v>3840</v>
      </c>
      <c r="AC324" s="5" t="s">
        <v>4198</v>
      </c>
      <c r="AD324" s="2"/>
      <c r="AE324" s="9"/>
      <c r="AF324" s="23"/>
      <c r="AG324" s="9"/>
      <c r="AH324" s="5" t="s">
        <v>2783</v>
      </c>
      <c r="AI324" s="5" t="s">
        <v>316</v>
      </c>
      <c r="AJ324" s="5" t="s">
        <v>928</v>
      </c>
      <c r="AK324" s="16" t="s">
        <v>3</v>
      </c>
      <c r="AL324" s="65" t="s">
        <v>3842</v>
      </c>
      <c r="AM324" s="31" t="s">
        <v>1651</v>
      </c>
    </row>
    <row r="325" spans="2:39" x14ac:dyDescent="0.25">
      <c r="B325" s="18" t="s">
        <v>2784</v>
      </c>
      <c r="C325" s="44" t="s">
        <v>3115</v>
      </c>
      <c r="D325" s="20" t="s">
        <v>958</v>
      </c>
      <c r="E325" s="67" t="s">
        <v>3</v>
      </c>
      <c r="F325" s="51" t="s">
        <v>3</v>
      </c>
      <c r="G325" s="37" t="s">
        <v>2715</v>
      </c>
      <c r="H325" s="68" t="s">
        <v>3842</v>
      </c>
      <c r="I325" s="62" t="s">
        <v>3310</v>
      </c>
      <c r="J325" s="61" t="s">
        <v>250</v>
      </c>
      <c r="K325" s="4">
        <v>998270</v>
      </c>
      <c r="L325" s="39">
        <v>106.726</v>
      </c>
      <c r="M325" s="4">
        <v>1067260</v>
      </c>
      <c r="N325" s="4">
        <v>1000000</v>
      </c>
      <c r="O325" s="4">
        <v>998726</v>
      </c>
      <c r="P325" s="4">
        <v>0</v>
      </c>
      <c r="Q325" s="4">
        <v>347</v>
      </c>
      <c r="R325" s="4">
        <v>0</v>
      </c>
      <c r="S325" s="4">
        <v>0</v>
      </c>
      <c r="T325" s="23">
        <v>2.7</v>
      </c>
      <c r="U325" s="23">
        <v>2.7389999999999999</v>
      </c>
      <c r="V325" s="5" t="s">
        <v>3844</v>
      </c>
      <c r="W325" s="4">
        <v>1275</v>
      </c>
      <c r="X325" s="4">
        <v>27000</v>
      </c>
      <c r="Y325" s="11">
        <v>43689</v>
      </c>
      <c r="Z325" s="11">
        <v>45457</v>
      </c>
      <c r="AA325" s="2"/>
      <c r="AB325" s="63" t="s">
        <v>3840</v>
      </c>
      <c r="AC325" s="5" t="s">
        <v>4198</v>
      </c>
      <c r="AD325" s="2"/>
      <c r="AE325" s="6"/>
      <c r="AF325" s="23"/>
      <c r="AG325" s="6"/>
      <c r="AH325" s="5" t="s">
        <v>2783</v>
      </c>
      <c r="AI325" s="5" t="s">
        <v>316</v>
      </c>
      <c r="AJ325" s="5" t="s">
        <v>928</v>
      </c>
      <c r="AK325" s="16" t="s">
        <v>3</v>
      </c>
      <c r="AL325" s="65" t="s">
        <v>3842</v>
      </c>
      <c r="AM325" s="31" t="s">
        <v>1651</v>
      </c>
    </row>
    <row r="326" spans="2:39" x14ac:dyDescent="0.25">
      <c r="B326" s="18" t="s">
        <v>3902</v>
      </c>
      <c r="C326" s="44" t="s">
        <v>1704</v>
      </c>
      <c r="D326" s="20" t="s">
        <v>2036</v>
      </c>
      <c r="E326" s="67" t="s">
        <v>3</v>
      </c>
      <c r="F326" s="51" t="s">
        <v>3</v>
      </c>
      <c r="G326" s="37" t="s">
        <v>3</v>
      </c>
      <c r="H326" s="68" t="s">
        <v>2715</v>
      </c>
      <c r="I326" s="62" t="s">
        <v>252</v>
      </c>
      <c r="J326" s="61" t="s">
        <v>250</v>
      </c>
      <c r="K326" s="4">
        <v>3469428</v>
      </c>
      <c r="L326" s="39">
        <v>103.194</v>
      </c>
      <c r="M326" s="4">
        <v>3611790</v>
      </c>
      <c r="N326" s="4">
        <v>3500000</v>
      </c>
      <c r="O326" s="4">
        <v>3485231</v>
      </c>
      <c r="P326" s="4">
        <v>0</v>
      </c>
      <c r="Q326" s="4">
        <v>8465</v>
      </c>
      <c r="R326" s="4">
        <v>0</v>
      </c>
      <c r="S326" s="4">
        <v>0</v>
      </c>
      <c r="T326" s="23">
        <v>2.15</v>
      </c>
      <c r="U326" s="23">
        <v>2.407</v>
      </c>
      <c r="V326" s="5" t="s">
        <v>12</v>
      </c>
      <c r="W326" s="4">
        <v>23620</v>
      </c>
      <c r="X326" s="4">
        <v>75250</v>
      </c>
      <c r="Y326" s="11">
        <v>43553</v>
      </c>
      <c r="Z326" s="11">
        <v>44812</v>
      </c>
      <c r="AA326" s="2"/>
      <c r="AB326" s="63" t="s">
        <v>3840</v>
      </c>
      <c r="AC326" s="5" t="s">
        <v>4198</v>
      </c>
      <c r="AD326" s="2"/>
      <c r="AE326" s="6"/>
      <c r="AF326" s="23"/>
      <c r="AG326" s="6"/>
      <c r="AH326" s="5" t="s">
        <v>3589</v>
      </c>
      <c r="AI326" s="5" t="s">
        <v>2036</v>
      </c>
      <c r="AJ326" s="5" t="s">
        <v>3</v>
      </c>
      <c r="AK326" s="16" t="s">
        <v>3</v>
      </c>
      <c r="AL326" s="65" t="s">
        <v>3842</v>
      </c>
      <c r="AM326" s="31" t="s">
        <v>898</v>
      </c>
    </row>
    <row r="327" spans="2:39" x14ac:dyDescent="0.25">
      <c r="B327" s="18" t="s">
        <v>609</v>
      </c>
      <c r="C327" s="44" t="s">
        <v>1386</v>
      </c>
      <c r="D327" s="20" t="s">
        <v>2036</v>
      </c>
      <c r="E327" s="67" t="s">
        <v>3</v>
      </c>
      <c r="F327" s="51" t="s">
        <v>3</v>
      </c>
      <c r="G327" s="37" t="s">
        <v>3</v>
      </c>
      <c r="H327" s="68" t="s">
        <v>2715</v>
      </c>
      <c r="I327" s="62" t="s">
        <v>252</v>
      </c>
      <c r="J327" s="61" t="s">
        <v>250</v>
      </c>
      <c r="K327" s="4">
        <v>7559255</v>
      </c>
      <c r="L327" s="39">
        <v>112.07599999999999</v>
      </c>
      <c r="M327" s="4">
        <v>8405700</v>
      </c>
      <c r="N327" s="4">
        <v>7500000</v>
      </c>
      <c r="O327" s="4">
        <v>7543346</v>
      </c>
      <c r="P327" s="4">
        <v>0</v>
      </c>
      <c r="Q327" s="4">
        <v>-9601</v>
      </c>
      <c r="R327" s="4">
        <v>0</v>
      </c>
      <c r="S327" s="4">
        <v>0</v>
      </c>
      <c r="T327" s="23">
        <v>3.45</v>
      </c>
      <c r="U327" s="23">
        <v>3.3</v>
      </c>
      <c r="V327" s="5" t="s">
        <v>12</v>
      </c>
      <c r="W327" s="4">
        <v>77625</v>
      </c>
      <c r="X327" s="4">
        <v>258750</v>
      </c>
      <c r="Y327" s="11">
        <v>43553</v>
      </c>
      <c r="Z327" s="11">
        <v>45729</v>
      </c>
      <c r="AA327" s="2"/>
      <c r="AB327" s="63" t="s">
        <v>3840</v>
      </c>
      <c r="AC327" s="5" t="s">
        <v>4198</v>
      </c>
      <c r="AD327" s="2"/>
      <c r="AE327" s="6"/>
      <c r="AF327" s="23"/>
      <c r="AG327" s="6"/>
      <c r="AH327" s="5" t="s">
        <v>3589</v>
      </c>
      <c r="AI327" s="5" t="s">
        <v>2036</v>
      </c>
      <c r="AJ327" s="5" t="s">
        <v>3</v>
      </c>
      <c r="AK327" s="16" t="s">
        <v>3</v>
      </c>
      <c r="AL327" s="65" t="s">
        <v>3842</v>
      </c>
      <c r="AM327" s="31" t="s">
        <v>898</v>
      </c>
    </row>
    <row r="328" spans="2:39" x14ac:dyDescent="0.25">
      <c r="B328" s="18" t="s">
        <v>1705</v>
      </c>
      <c r="C328" s="44" t="s">
        <v>66</v>
      </c>
      <c r="D328" s="20" t="s">
        <v>2036</v>
      </c>
      <c r="E328" s="67" t="s">
        <v>3</v>
      </c>
      <c r="F328" s="51" t="s">
        <v>3</v>
      </c>
      <c r="G328" s="37" t="s">
        <v>3</v>
      </c>
      <c r="H328" s="68" t="s">
        <v>2715</v>
      </c>
      <c r="I328" s="62" t="s">
        <v>252</v>
      </c>
      <c r="J328" s="61" t="s">
        <v>250</v>
      </c>
      <c r="K328" s="4">
        <v>2998350</v>
      </c>
      <c r="L328" s="39">
        <v>107.512</v>
      </c>
      <c r="M328" s="4">
        <v>3225360</v>
      </c>
      <c r="N328" s="4">
        <v>3000000</v>
      </c>
      <c r="O328" s="4">
        <v>2999162</v>
      </c>
      <c r="P328" s="4">
        <v>0</v>
      </c>
      <c r="Q328" s="4">
        <v>325</v>
      </c>
      <c r="R328" s="4">
        <v>0</v>
      </c>
      <c r="S328" s="4">
        <v>0</v>
      </c>
      <c r="T328" s="23">
        <v>3.45</v>
      </c>
      <c r="U328" s="23">
        <v>3.4620000000000002</v>
      </c>
      <c r="V328" s="5" t="s">
        <v>3844</v>
      </c>
      <c r="W328" s="4">
        <v>6900</v>
      </c>
      <c r="X328" s="4">
        <v>103500</v>
      </c>
      <c r="Y328" s="11">
        <v>43255</v>
      </c>
      <c r="Z328" s="11">
        <v>45084</v>
      </c>
      <c r="AA328" s="2"/>
      <c r="AB328" s="63" t="s">
        <v>3840</v>
      </c>
      <c r="AC328" s="5" t="s">
        <v>4198</v>
      </c>
      <c r="AD328" s="2"/>
      <c r="AE328" s="6"/>
      <c r="AF328" s="23"/>
      <c r="AG328" s="6"/>
      <c r="AH328" s="5" t="s">
        <v>3589</v>
      </c>
      <c r="AI328" s="5" t="s">
        <v>2036</v>
      </c>
      <c r="AJ328" s="5" t="s">
        <v>3</v>
      </c>
      <c r="AK328" s="16" t="s">
        <v>3</v>
      </c>
      <c r="AL328" s="65" t="s">
        <v>3842</v>
      </c>
      <c r="AM328" s="31" t="s">
        <v>898</v>
      </c>
    </row>
    <row r="329" spans="2:39" x14ac:dyDescent="0.25">
      <c r="B329" s="18" t="s">
        <v>2785</v>
      </c>
      <c r="C329" s="44" t="s">
        <v>3590</v>
      </c>
      <c r="D329" s="20" t="s">
        <v>2036</v>
      </c>
      <c r="E329" s="67" t="s">
        <v>3</v>
      </c>
      <c r="F329" s="51" t="s">
        <v>3</v>
      </c>
      <c r="G329" s="37" t="s">
        <v>3</v>
      </c>
      <c r="H329" s="68" t="s">
        <v>2715</v>
      </c>
      <c r="I329" s="62" t="s">
        <v>252</v>
      </c>
      <c r="J329" s="61" t="s">
        <v>250</v>
      </c>
      <c r="K329" s="4">
        <v>4999100</v>
      </c>
      <c r="L329" s="39">
        <v>109.21299999999999</v>
      </c>
      <c r="M329" s="4">
        <v>5460650</v>
      </c>
      <c r="N329" s="4">
        <v>5000000</v>
      </c>
      <c r="O329" s="4">
        <v>4999480</v>
      </c>
      <c r="P329" s="4">
        <v>0</v>
      </c>
      <c r="Q329" s="4">
        <v>175</v>
      </c>
      <c r="R329" s="4">
        <v>0</v>
      </c>
      <c r="S329" s="4">
        <v>0</v>
      </c>
      <c r="T329" s="23">
        <v>3.65</v>
      </c>
      <c r="U329" s="23">
        <v>3.6539999999999999</v>
      </c>
      <c r="V329" s="5" t="s">
        <v>3843</v>
      </c>
      <c r="W329" s="4">
        <v>40049</v>
      </c>
      <c r="X329" s="4">
        <v>182500</v>
      </c>
      <c r="Y329" s="11">
        <v>43382</v>
      </c>
      <c r="Z329" s="11">
        <v>45211</v>
      </c>
      <c r="AA329" s="2"/>
      <c r="AB329" s="63" t="s">
        <v>3840</v>
      </c>
      <c r="AC329" s="5" t="s">
        <v>4198</v>
      </c>
      <c r="AD329" s="2"/>
      <c r="AE329" s="9"/>
      <c r="AF329" s="23"/>
      <c r="AG329" s="6"/>
      <c r="AH329" s="5" t="s">
        <v>3589</v>
      </c>
      <c r="AI329" s="5" t="s">
        <v>2036</v>
      </c>
      <c r="AJ329" s="5" t="s">
        <v>3</v>
      </c>
      <c r="AK329" s="16" t="s">
        <v>3</v>
      </c>
      <c r="AL329" s="65" t="s">
        <v>3842</v>
      </c>
      <c r="AM329" s="31" t="s">
        <v>898</v>
      </c>
    </row>
    <row r="330" spans="2:39" x14ac:dyDescent="0.25">
      <c r="B330" s="18" t="s">
        <v>3903</v>
      </c>
      <c r="C330" s="44" t="s">
        <v>2037</v>
      </c>
      <c r="D330" s="20" t="s">
        <v>2036</v>
      </c>
      <c r="E330" s="67" t="s">
        <v>3</v>
      </c>
      <c r="F330" s="51" t="s">
        <v>3</v>
      </c>
      <c r="G330" s="37" t="s">
        <v>3</v>
      </c>
      <c r="H330" s="68" t="s">
        <v>2715</v>
      </c>
      <c r="I330" s="62" t="s">
        <v>252</v>
      </c>
      <c r="J330" s="61" t="s">
        <v>250</v>
      </c>
      <c r="K330" s="4">
        <v>4987750</v>
      </c>
      <c r="L330" s="39">
        <v>108.11499999999999</v>
      </c>
      <c r="M330" s="4">
        <v>5405750</v>
      </c>
      <c r="N330" s="4">
        <v>5000000</v>
      </c>
      <c r="O330" s="4">
        <v>4989887</v>
      </c>
      <c r="P330" s="4">
        <v>0</v>
      </c>
      <c r="Q330" s="4">
        <v>1645</v>
      </c>
      <c r="R330" s="4">
        <v>0</v>
      </c>
      <c r="S330" s="4">
        <v>0</v>
      </c>
      <c r="T330" s="23">
        <v>2.25</v>
      </c>
      <c r="U330" s="23">
        <v>2.2879999999999998</v>
      </c>
      <c r="V330" s="5" t="s">
        <v>12</v>
      </c>
      <c r="W330" s="4">
        <v>33438</v>
      </c>
      <c r="X330" s="4">
        <v>113125</v>
      </c>
      <c r="Y330" s="11">
        <v>43717</v>
      </c>
      <c r="Z330" s="11">
        <v>46279</v>
      </c>
      <c r="AA330" s="2"/>
      <c r="AB330" s="63" t="s">
        <v>3840</v>
      </c>
      <c r="AC330" s="5" t="s">
        <v>4198</v>
      </c>
      <c r="AD330" s="2"/>
      <c r="AE330" s="9"/>
      <c r="AF330" s="23"/>
      <c r="AG330" s="6"/>
      <c r="AH330" s="5" t="s">
        <v>3589</v>
      </c>
      <c r="AI330" s="5" t="s">
        <v>2036</v>
      </c>
      <c r="AJ330" s="5" t="s">
        <v>3</v>
      </c>
      <c r="AK330" s="16" t="s">
        <v>3</v>
      </c>
      <c r="AL330" s="65" t="s">
        <v>3842</v>
      </c>
      <c r="AM330" s="31" t="s">
        <v>898</v>
      </c>
    </row>
    <row r="331" spans="2:39" x14ac:dyDescent="0.25">
      <c r="B331" s="18" t="s">
        <v>610</v>
      </c>
      <c r="C331" s="44" t="s">
        <v>3591</v>
      </c>
      <c r="D331" s="20" t="s">
        <v>3592</v>
      </c>
      <c r="E331" s="67" t="s">
        <v>3</v>
      </c>
      <c r="F331" s="51" t="s">
        <v>3</v>
      </c>
      <c r="G331" s="37" t="s">
        <v>2715</v>
      </c>
      <c r="H331" s="68" t="s">
        <v>3842</v>
      </c>
      <c r="I331" s="62" t="s">
        <v>1157</v>
      </c>
      <c r="J331" s="61" t="s">
        <v>250</v>
      </c>
      <c r="K331" s="4">
        <v>4987150</v>
      </c>
      <c r="L331" s="39">
        <v>118.077</v>
      </c>
      <c r="M331" s="4">
        <v>5903850</v>
      </c>
      <c r="N331" s="4">
        <v>5000000</v>
      </c>
      <c r="O331" s="4">
        <v>4989854</v>
      </c>
      <c r="P331" s="4">
        <v>0</v>
      </c>
      <c r="Q331" s="4">
        <v>1492</v>
      </c>
      <c r="R331" s="4">
        <v>0</v>
      </c>
      <c r="S331" s="4">
        <v>0</v>
      </c>
      <c r="T331" s="23">
        <v>4.9000000000000004</v>
      </c>
      <c r="U331" s="23">
        <v>4.9409999999999998</v>
      </c>
      <c r="V331" s="5" t="s">
        <v>3843</v>
      </c>
      <c r="W331" s="4">
        <v>61250</v>
      </c>
      <c r="X331" s="4">
        <v>245000</v>
      </c>
      <c r="Y331" s="11">
        <v>43530</v>
      </c>
      <c r="Z331" s="11">
        <v>46296</v>
      </c>
      <c r="AA331" s="2"/>
      <c r="AB331" s="63" t="s">
        <v>3840</v>
      </c>
      <c r="AC331" s="5" t="s">
        <v>4198</v>
      </c>
      <c r="AD331" s="2"/>
      <c r="AE331" s="11">
        <v>46235</v>
      </c>
      <c r="AF331" s="23">
        <v>100</v>
      </c>
      <c r="AG331" s="6"/>
      <c r="AH331" s="5" t="s">
        <v>3</v>
      </c>
      <c r="AI331" s="5" t="s">
        <v>1387</v>
      </c>
      <c r="AJ331" s="5" t="s">
        <v>928</v>
      </c>
      <c r="AK331" s="16" t="s">
        <v>3</v>
      </c>
      <c r="AL331" s="65" t="s">
        <v>2715</v>
      </c>
      <c r="AM331" s="31" t="s">
        <v>926</v>
      </c>
    </row>
    <row r="332" spans="2:39" x14ac:dyDescent="0.25">
      <c r="B332" s="18" t="s">
        <v>1706</v>
      </c>
      <c r="C332" s="44" t="s">
        <v>1707</v>
      </c>
      <c r="D332" s="20" t="s">
        <v>1708</v>
      </c>
      <c r="E332" s="67" t="s">
        <v>3</v>
      </c>
      <c r="F332" s="51" t="s">
        <v>3</v>
      </c>
      <c r="G332" s="37" t="s">
        <v>2715</v>
      </c>
      <c r="H332" s="68" t="s">
        <v>3842</v>
      </c>
      <c r="I332" s="62" t="s">
        <v>1157</v>
      </c>
      <c r="J332" s="61" t="s">
        <v>250</v>
      </c>
      <c r="K332" s="4">
        <v>5107900</v>
      </c>
      <c r="L332" s="39">
        <v>106.875</v>
      </c>
      <c r="M332" s="4">
        <v>5343750</v>
      </c>
      <c r="N332" s="4">
        <v>5000000</v>
      </c>
      <c r="O332" s="4">
        <v>5094986</v>
      </c>
      <c r="P332" s="4">
        <v>0</v>
      </c>
      <c r="Q332" s="4">
        <v>-12914</v>
      </c>
      <c r="R332" s="4">
        <v>0</v>
      </c>
      <c r="S332" s="4">
        <v>0</v>
      </c>
      <c r="T332" s="23">
        <v>3.25</v>
      </c>
      <c r="U332" s="23">
        <v>2.8889999999999998</v>
      </c>
      <c r="V332" s="5" t="s">
        <v>3844</v>
      </c>
      <c r="W332" s="4">
        <v>13542</v>
      </c>
      <c r="X332" s="4">
        <v>160694</v>
      </c>
      <c r="Y332" s="11">
        <v>43873</v>
      </c>
      <c r="Z332" s="11">
        <v>46357</v>
      </c>
      <c r="AA332" s="2"/>
      <c r="AB332" s="63" t="s">
        <v>3840</v>
      </c>
      <c r="AC332" s="5" t="s">
        <v>4198</v>
      </c>
      <c r="AD332" s="2"/>
      <c r="AE332" s="10">
        <v>46296</v>
      </c>
      <c r="AF332" s="23">
        <v>100</v>
      </c>
      <c r="AG332" s="10">
        <v>46296</v>
      </c>
      <c r="AH332" s="5" t="s">
        <v>959</v>
      </c>
      <c r="AI332" s="5" t="s">
        <v>1708</v>
      </c>
      <c r="AJ332" s="5" t="s">
        <v>3</v>
      </c>
      <c r="AK332" s="16" t="s">
        <v>3</v>
      </c>
      <c r="AL332" s="65" t="s">
        <v>3842</v>
      </c>
      <c r="AM332" s="31" t="s">
        <v>926</v>
      </c>
    </row>
    <row r="333" spans="2:39" x14ac:dyDescent="0.25">
      <c r="B333" s="18" t="s">
        <v>3116</v>
      </c>
      <c r="C333" s="44" t="s">
        <v>2490</v>
      </c>
      <c r="D333" s="20" t="s">
        <v>4252</v>
      </c>
      <c r="E333" s="67" t="s">
        <v>3</v>
      </c>
      <c r="F333" s="51" t="s">
        <v>3</v>
      </c>
      <c r="G333" s="37" t="s">
        <v>2715</v>
      </c>
      <c r="H333" s="68" t="s">
        <v>2715</v>
      </c>
      <c r="I333" s="62" t="s">
        <v>1358</v>
      </c>
      <c r="J333" s="61" t="s">
        <v>250</v>
      </c>
      <c r="K333" s="4">
        <v>4979600</v>
      </c>
      <c r="L333" s="39">
        <v>104.215</v>
      </c>
      <c r="M333" s="4">
        <v>5210750</v>
      </c>
      <c r="N333" s="4">
        <v>5000000</v>
      </c>
      <c r="O333" s="4">
        <v>4985159</v>
      </c>
      <c r="P333" s="4">
        <v>0</v>
      </c>
      <c r="Q333" s="4">
        <v>4310</v>
      </c>
      <c r="R333" s="4">
        <v>0</v>
      </c>
      <c r="S333" s="4">
        <v>0</v>
      </c>
      <c r="T333" s="23">
        <v>1.75</v>
      </c>
      <c r="U333" s="23">
        <v>1.8360000000000001</v>
      </c>
      <c r="V333" s="5" t="s">
        <v>248</v>
      </c>
      <c r="W333" s="4">
        <v>29896</v>
      </c>
      <c r="X333" s="4">
        <v>86042</v>
      </c>
      <c r="Y333" s="11">
        <v>43711</v>
      </c>
      <c r="Z333" s="11">
        <v>45534</v>
      </c>
      <c r="AA333" s="2"/>
      <c r="AB333" s="63" t="s">
        <v>3840</v>
      </c>
      <c r="AC333" s="5" t="s">
        <v>4198</v>
      </c>
      <c r="AD333" s="2"/>
      <c r="AE333" s="11">
        <v>45503</v>
      </c>
      <c r="AF333" s="23">
        <v>100</v>
      </c>
      <c r="AG333" s="9"/>
      <c r="AH333" s="5" t="s">
        <v>3</v>
      </c>
      <c r="AI333" s="5" t="s">
        <v>4252</v>
      </c>
      <c r="AJ333" s="5" t="s">
        <v>3</v>
      </c>
      <c r="AK333" s="16" t="s">
        <v>3</v>
      </c>
      <c r="AL333" s="65" t="s">
        <v>3842</v>
      </c>
      <c r="AM333" s="31" t="s">
        <v>559</v>
      </c>
    </row>
    <row r="334" spans="2:39" x14ac:dyDescent="0.25">
      <c r="B334" s="18" t="s">
        <v>611</v>
      </c>
      <c r="C334" s="44" t="s">
        <v>960</v>
      </c>
      <c r="D334" s="20" t="s">
        <v>3593</v>
      </c>
      <c r="E334" s="67" t="s">
        <v>3</v>
      </c>
      <c r="F334" s="51" t="s">
        <v>3</v>
      </c>
      <c r="G334" s="37" t="s">
        <v>3</v>
      </c>
      <c r="H334" s="68" t="s">
        <v>3842</v>
      </c>
      <c r="I334" s="62" t="s">
        <v>1157</v>
      </c>
      <c r="J334" s="61" t="s">
        <v>250</v>
      </c>
      <c r="K334" s="4">
        <v>5649417</v>
      </c>
      <c r="L334" s="39">
        <v>101.733</v>
      </c>
      <c r="M334" s="4">
        <v>5299272</v>
      </c>
      <c r="N334" s="4">
        <v>5209000</v>
      </c>
      <c r="O334" s="4">
        <v>5241422</v>
      </c>
      <c r="P334" s="4">
        <v>0</v>
      </c>
      <c r="Q334" s="4">
        <v>-69700</v>
      </c>
      <c r="R334" s="4">
        <v>0</v>
      </c>
      <c r="S334" s="4">
        <v>0</v>
      </c>
      <c r="T334" s="23">
        <v>4.375</v>
      </c>
      <c r="U334" s="23">
        <v>2.988</v>
      </c>
      <c r="V334" s="5" t="s">
        <v>3844</v>
      </c>
      <c r="W334" s="4">
        <v>10129</v>
      </c>
      <c r="X334" s="4">
        <v>227894</v>
      </c>
      <c r="Y334" s="11">
        <v>41886</v>
      </c>
      <c r="Z334" s="11">
        <v>44362</v>
      </c>
      <c r="AA334" s="2"/>
      <c r="AB334" s="63" t="s">
        <v>3840</v>
      </c>
      <c r="AC334" s="5" t="s">
        <v>4198</v>
      </c>
      <c r="AD334" s="2"/>
      <c r="AE334" s="9"/>
      <c r="AF334" s="23"/>
      <c r="AG334" s="6"/>
      <c r="AH334" s="5" t="s">
        <v>1198</v>
      </c>
      <c r="AI334" s="5" t="s">
        <v>3593</v>
      </c>
      <c r="AJ334" s="5" t="s">
        <v>3</v>
      </c>
      <c r="AK334" s="16" t="s">
        <v>3</v>
      </c>
      <c r="AL334" s="65" t="s">
        <v>2715</v>
      </c>
      <c r="AM334" s="31" t="s">
        <v>926</v>
      </c>
    </row>
    <row r="335" spans="2:39" x14ac:dyDescent="0.25">
      <c r="B335" s="18" t="s">
        <v>1709</v>
      </c>
      <c r="C335" s="44" t="s">
        <v>4253</v>
      </c>
      <c r="D335" s="20" t="s">
        <v>317</v>
      </c>
      <c r="E335" s="67" t="s">
        <v>3</v>
      </c>
      <c r="F335" s="51" t="s">
        <v>3</v>
      </c>
      <c r="G335" s="37" t="s">
        <v>2715</v>
      </c>
      <c r="H335" s="68" t="s">
        <v>3842</v>
      </c>
      <c r="I335" s="62" t="s">
        <v>10</v>
      </c>
      <c r="J335" s="61" t="s">
        <v>250</v>
      </c>
      <c r="K335" s="4">
        <v>5199000</v>
      </c>
      <c r="L335" s="39">
        <v>105.879</v>
      </c>
      <c r="M335" s="4">
        <v>5293950</v>
      </c>
      <c r="N335" s="4">
        <v>5000000</v>
      </c>
      <c r="O335" s="4">
        <v>5066723</v>
      </c>
      <c r="P335" s="4">
        <v>0</v>
      </c>
      <c r="Q335" s="4">
        <v>-31426</v>
      </c>
      <c r="R335" s="4">
        <v>0</v>
      </c>
      <c r="S335" s="4">
        <v>0</v>
      </c>
      <c r="T335" s="23">
        <v>3.25</v>
      </c>
      <c r="U335" s="23">
        <v>2.5750000000000002</v>
      </c>
      <c r="V335" s="5" t="s">
        <v>3843</v>
      </c>
      <c r="W335" s="4">
        <v>34306</v>
      </c>
      <c r="X335" s="4">
        <v>162500</v>
      </c>
      <c r="Y335" s="11">
        <v>42585</v>
      </c>
      <c r="Z335" s="11">
        <v>45031</v>
      </c>
      <c r="AA335" s="2"/>
      <c r="AB335" s="63" t="s">
        <v>3840</v>
      </c>
      <c r="AC335" s="5" t="s">
        <v>4198</v>
      </c>
      <c r="AD335" s="2"/>
      <c r="AE335" s="11">
        <v>44941</v>
      </c>
      <c r="AF335" s="23">
        <v>100</v>
      </c>
      <c r="AG335" s="11">
        <v>44941</v>
      </c>
      <c r="AH335" s="5" t="s">
        <v>3117</v>
      </c>
      <c r="AI335" s="5" t="s">
        <v>961</v>
      </c>
      <c r="AJ335" s="5" t="s">
        <v>961</v>
      </c>
      <c r="AK335" s="16" t="s">
        <v>3</v>
      </c>
      <c r="AL335" s="65" t="s">
        <v>3842</v>
      </c>
      <c r="AM335" s="31" t="s">
        <v>1176</v>
      </c>
    </row>
    <row r="336" spans="2:39" x14ac:dyDescent="0.25">
      <c r="B336" s="18" t="s">
        <v>2786</v>
      </c>
      <c r="C336" s="44" t="s">
        <v>2491</v>
      </c>
      <c r="D336" s="20" t="s">
        <v>1199</v>
      </c>
      <c r="E336" s="67" t="s">
        <v>3</v>
      </c>
      <c r="F336" s="51" t="s">
        <v>3</v>
      </c>
      <c r="G336" s="37" t="s">
        <v>2715</v>
      </c>
      <c r="H336" s="68" t="s">
        <v>3842</v>
      </c>
      <c r="I336" s="62" t="s">
        <v>10</v>
      </c>
      <c r="J336" s="61" t="s">
        <v>250</v>
      </c>
      <c r="K336" s="4">
        <v>4994950</v>
      </c>
      <c r="L336" s="39">
        <v>112.879</v>
      </c>
      <c r="M336" s="4">
        <v>5643950</v>
      </c>
      <c r="N336" s="4">
        <v>5000000</v>
      </c>
      <c r="O336" s="4">
        <v>4996818</v>
      </c>
      <c r="P336" s="4">
        <v>0</v>
      </c>
      <c r="Q336" s="4">
        <v>653</v>
      </c>
      <c r="R336" s="4">
        <v>0</v>
      </c>
      <c r="S336" s="4">
        <v>0</v>
      </c>
      <c r="T336" s="23">
        <v>4</v>
      </c>
      <c r="U336" s="23">
        <v>4.016</v>
      </c>
      <c r="V336" s="5" t="s">
        <v>3312</v>
      </c>
      <c r="W336" s="4">
        <v>25556</v>
      </c>
      <c r="X336" s="4">
        <v>200000</v>
      </c>
      <c r="Y336" s="11">
        <v>43195</v>
      </c>
      <c r="Z336" s="11">
        <v>45792</v>
      </c>
      <c r="AA336" s="2"/>
      <c r="AB336" s="63" t="s">
        <v>3840</v>
      </c>
      <c r="AC336" s="5" t="s">
        <v>4198</v>
      </c>
      <c r="AD336" s="2"/>
      <c r="AE336" s="11">
        <v>45731</v>
      </c>
      <c r="AF336" s="23">
        <v>100</v>
      </c>
      <c r="AG336" s="6"/>
      <c r="AH336" s="5" t="s">
        <v>1388</v>
      </c>
      <c r="AI336" s="5" t="s">
        <v>1199</v>
      </c>
      <c r="AJ336" s="5" t="s">
        <v>3</v>
      </c>
      <c r="AK336" s="16" t="s">
        <v>3</v>
      </c>
      <c r="AL336" s="65" t="s">
        <v>3842</v>
      </c>
      <c r="AM336" s="31" t="s">
        <v>1176</v>
      </c>
    </row>
    <row r="337" spans="2:39" x14ac:dyDescent="0.25">
      <c r="B337" s="18" t="s">
        <v>3904</v>
      </c>
      <c r="C337" s="44" t="s">
        <v>3905</v>
      </c>
      <c r="D337" s="20" t="s">
        <v>3906</v>
      </c>
      <c r="E337" s="67" t="s">
        <v>3</v>
      </c>
      <c r="F337" s="51" t="s">
        <v>3</v>
      </c>
      <c r="G337" s="37" t="s">
        <v>2715</v>
      </c>
      <c r="H337" s="68" t="s">
        <v>3842</v>
      </c>
      <c r="I337" s="62" t="s">
        <v>10</v>
      </c>
      <c r="J337" s="61" t="s">
        <v>250</v>
      </c>
      <c r="K337" s="4">
        <v>5007339</v>
      </c>
      <c r="L337" s="39">
        <v>116.896</v>
      </c>
      <c r="M337" s="4">
        <v>5844800</v>
      </c>
      <c r="N337" s="4">
        <v>5000000</v>
      </c>
      <c r="O337" s="4">
        <v>5006217</v>
      </c>
      <c r="P337" s="4">
        <v>0</v>
      </c>
      <c r="Q337" s="4">
        <v>-1042</v>
      </c>
      <c r="R337" s="4">
        <v>0</v>
      </c>
      <c r="S337" s="4">
        <v>0</v>
      </c>
      <c r="T337" s="23">
        <v>4.55</v>
      </c>
      <c r="U337" s="23">
        <v>4.5220000000000002</v>
      </c>
      <c r="V337" s="5" t="s">
        <v>3312</v>
      </c>
      <c r="W337" s="4">
        <v>19590</v>
      </c>
      <c r="X337" s="4">
        <v>227500</v>
      </c>
      <c r="Y337" s="11">
        <v>43794</v>
      </c>
      <c r="Z337" s="11">
        <v>45991</v>
      </c>
      <c r="AA337" s="2"/>
      <c r="AB337" s="63" t="s">
        <v>3840</v>
      </c>
      <c r="AC337" s="5" t="s">
        <v>4198</v>
      </c>
      <c r="AD337" s="2"/>
      <c r="AE337" s="11">
        <v>45930</v>
      </c>
      <c r="AF337" s="23">
        <v>100</v>
      </c>
      <c r="AG337" s="10">
        <v>45930</v>
      </c>
      <c r="AH337" s="5" t="s">
        <v>67</v>
      </c>
      <c r="AI337" s="5" t="s">
        <v>3906</v>
      </c>
      <c r="AJ337" s="5" t="s">
        <v>3</v>
      </c>
      <c r="AK337" s="16" t="s">
        <v>3</v>
      </c>
      <c r="AL337" s="65" t="s">
        <v>3842</v>
      </c>
      <c r="AM337" s="31" t="s">
        <v>1176</v>
      </c>
    </row>
    <row r="338" spans="2:39" x14ac:dyDescent="0.25">
      <c r="B338" s="18" t="s">
        <v>612</v>
      </c>
      <c r="C338" s="44" t="s">
        <v>68</v>
      </c>
      <c r="D338" s="20" t="s">
        <v>3906</v>
      </c>
      <c r="E338" s="67" t="s">
        <v>3</v>
      </c>
      <c r="F338" s="51" t="s">
        <v>3</v>
      </c>
      <c r="G338" s="37" t="s">
        <v>2715</v>
      </c>
      <c r="H338" s="68" t="s">
        <v>3842</v>
      </c>
      <c r="I338" s="62" t="s">
        <v>10</v>
      </c>
      <c r="J338" s="61" t="s">
        <v>250</v>
      </c>
      <c r="K338" s="4">
        <v>5002209</v>
      </c>
      <c r="L338" s="39">
        <v>112.76</v>
      </c>
      <c r="M338" s="4">
        <v>5638000</v>
      </c>
      <c r="N338" s="4">
        <v>5000000</v>
      </c>
      <c r="O338" s="4">
        <v>5001869</v>
      </c>
      <c r="P338" s="4">
        <v>0</v>
      </c>
      <c r="Q338" s="4">
        <v>-314</v>
      </c>
      <c r="R338" s="4">
        <v>0</v>
      </c>
      <c r="S338" s="4">
        <v>0</v>
      </c>
      <c r="T338" s="23">
        <v>3.625</v>
      </c>
      <c r="U338" s="23">
        <v>3.6160000000000001</v>
      </c>
      <c r="V338" s="5" t="s">
        <v>3312</v>
      </c>
      <c r="W338" s="4">
        <v>23160</v>
      </c>
      <c r="X338" s="4">
        <v>181250</v>
      </c>
      <c r="Y338" s="11">
        <v>43794</v>
      </c>
      <c r="Z338" s="11">
        <v>46157</v>
      </c>
      <c r="AA338" s="2"/>
      <c r="AB338" s="63" t="s">
        <v>3840</v>
      </c>
      <c r="AC338" s="5" t="s">
        <v>4198</v>
      </c>
      <c r="AD338" s="2"/>
      <c r="AE338" s="11">
        <v>46096</v>
      </c>
      <c r="AF338" s="23">
        <v>100</v>
      </c>
      <c r="AG338" s="11">
        <v>46096</v>
      </c>
      <c r="AH338" s="5" t="s">
        <v>67</v>
      </c>
      <c r="AI338" s="5" t="s">
        <v>3906</v>
      </c>
      <c r="AJ338" s="5" t="s">
        <v>3</v>
      </c>
      <c r="AK338" s="16" t="s">
        <v>3</v>
      </c>
      <c r="AL338" s="65" t="s">
        <v>3842</v>
      </c>
      <c r="AM338" s="31" t="s">
        <v>1176</v>
      </c>
    </row>
    <row r="339" spans="2:39" x14ac:dyDescent="0.25">
      <c r="B339" s="18" t="s">
        <v>1710</v>
      </c>
      <c r="C339" s="44" t="s">
        <v>1711</v>
      </c>
      <c r="D339" s="20" t="s">
        <v>4254</v>
      </c>
      <c r="E339" s="67" t="s">
        <v>3</v>
      </c>
      <c r="F339" s="51" t="s">
        <v>3</v>
      </c>
      <c r="G339" s="37" t="s">
        <v>2715</v>
      </c>
      <c r="H339" s="68" t="s">
        <v>3842</v>
      </c>
      <c r="I339" s="62" t="s">
        <v>3310</v>
      </c>
      <c r="J339" s="61" t="s">
        <v>250</v>
      </c>
      <c r="K339" s="4">
        <v>12000000</v>
      </c>
      <c r="L339" s="39">
        <v>116.836</v>
      </c>
      <c r="M339" s="4">
        <v>14020320</v>
      </c>
      <c r="N339" s="4">
        <v>12000000</v>
      </c>
      <c r="O339" s="4">
        <v>12000000</v>
      </c>
      <c r="P339" s="4">
        <v>0</v>
      </c>
      <c r="Q339" s="4">
        <v>0</v>
      </c>
      <c r="R339" s="4">
        <v>0</v>
      </c>
      <c r="S339" s="4">
        <v>0</v>
      </c>
      <c r="T339" s="23">
        <v>4.4930000000000003</v>
      </c>
      <c r="U339" s="23">
        <v>4.4930000000000003</v>
      </c>
      <c r="V339" s="5" t="s">
        <v>3312</v>
      </c>
      <c r="W339" s="4">
        <v>68893</v>
      </c>
      <c r="X339" s="4">
        <v>539160</v>
      </c>
      <c r="Y339" s="11">
        <v>43419</v>
      </c>
      <c r="Z339" s="11">
        <v>45976</v>
      </c>
      <c r="AA339" s="2"/>
      <c r="AB339" s="63" t="s">
        <v>3840</v>
      </c>
      <c r="AC339" s="5" t="s">
        <v>4198</v>
      </c>
      <c r="AD339" s="2"/>
      <c r="AE339" s="11">
        <v>45915</v>
      </c>
      <c r="AF339" s="23">
        <v>100</v>
      </c>
      <c r="AG339" s="9"/>
      <c r="AH339" s="5" t="s">
        <v>3118</v>
      </c>
      <c r="AI339" s="5" t="s">
        <v>4254</v>
      </c>
      <c r="AJ339" s="5" t="s">
        <v>3</v>
      </c>
      <c r="AK339" s="16" t="s">
        <v>3</v>
      </c>
      <c r="AL339" s="65" t="s">
        <v>3842</v>
      </c>
      <c r="AM339" s="31" t="s">
        <v>1651</v>
      </c>
    </row>
    <row r="340" spans="2:39" x14ac:dyDescent="0.25">
      <c r="B340" s="18" t="s">
        <v>2787</v>
      </c>
      <c r="C340" s="44" t="s">
        <v>1712</v>
      </c>
      <c r="D340" s="20" t="s">
        <v>4226</v>
      </c>
      <c r="E340" s="67" t="s">
        <v>3</v>
      </c>
      <c r="F340" s="51" t="s">
        <v>3</v>
      </c>
      <c r="G340" s="37" t="s">
        <v>2715</v>
      </c>
      <c r="H340" s="68" t="s">
        <v>3842</v>
      </c>
      <c r="I340" s="62" t="s">
        <v>10</v>
      </c>
      <c r="J340" s="61" t="s">
        <v>250</v>
      </c>
      <c r="K340" s="4">
        <v>6997340</v>
      </c>
      <c r="L340" s="39">
        <v>107.425</v>
      </c>
      <c r="M340" s="4">
        <v>7519750</v>
      </c>
      <c r="N340" s="4">
        <v>7000000</v>
      </c>
      <c r="O340" s="4">
        <v>6998809</v>
      </c>
      <c r="P340" s="4">
        <v>0</v>
      </c>
      <c r="Q340" s="4">
        <v>379</v>
      </c>
      <c r="R340" s="4">
        <v>0</v>
      </c>
      <c r="S340" s="4">
        <v>0</v>
      </c>
      <c r="T340" s="23">
        <v>3.13</v>
      </c>
      <c r="U340" s="23">
        <v>3.1360000000000001</v>
      </c>
      <c r="V340" s="5" t="s">
        <v>3844</v>
      </c>
      <c r="W340" s="4">
        <v>9738</v>
      </c>
      <c r="X340" s="4">
        <v>219100</v>
      </c>
      <c r="Y340" s="11">
        <v>42709</v>
      </c>
      <c r="Z340" s="11">
        <v>45275</v>
      </c>
      <c r="AA340" s="2"/>
      <c r="AB340" s="63" t="s">
        <v>3840</v>
      </c>
      <c r="AC340" s="5" t="s">
        <v>4198</v>
      </c>
      <c r="AD340" s="2"/>
      <c r="AE340" s="11">
        <v>45214</v>
      </c>
      <c r="AF340" s="23">
        <v>100</v>
      </c>
      <c r="AG340" s="6"/>
      <c r="AH340" s="5" t="s">
        <v>3</v>
      </c>
      <c r="AI340" s="5" t="s">
        <v>4226</v>
      </c>
      <c r="AJ340" s="5" t="s">
        <v>3</v>
      </c>
      <c r="AK340" s="16" t="s">
        <v>3</v>
      </c>
      <c r="AL340" s="65" t="s">
        <v>3842</v>
      </c>
      <c r="AM340" s="31" t="s">
        <v>1176</v>
      </c>
    </row>
    <row r="341" spans="2:39" x14ac:dyDescent="0.25">
      <c r="B341" s="18" t="s">
        <v>3907</v>
      </c>
      <c r="C341" s="44" t="s">
        <v>4255</v>
      </c>
      <c r="D341" s="20" t="s">
        <v>3357</v>
      </c>
      <c r="E341" s="67" t="s">
        <v>3</v>
      </c>
      <c r="F341" s="51" t="s">
        <v>3</v>
      </c>
      <c r="G341" s="37" t="s">
        <v>3842</v>
      </c>
      <c r="H341" s="68" t="s">
        <v>3842</v>
      </c>
      <c r="I341" s="62" t="s">
        <v>3310</v>
      </c>
      <c r="J341" s="61" t="s">
        <v>250</v>
      </c>
      <c r="K341" s="4">
        <v>4997700</v>
      </c>
      <c r="L341" s="39">
        <v>110.10299999999999</v>
      </c>
      <c r="M341" s="4">
        <v>5505150</v>
      </c>
      <c r="N341" s="4">
        <v>5000000</v>
      </c>
      <c r="O341" s="4">
        <v>4998760</v>
      </c>
      <c r="P341" s="4">
        <v>0</v>
      </c>
      <c r="Q341" s="4">
        <v>348</v>
      </c>
      <c r="R341" s="4">
        <v>0</v>
      </c>
      <c r="S341" s="4">
        <v>0</v>
      </c>
      <c r="T341" s="23">
        <v>3.75</v>
      </c>
      <c r="U341" s="23">
        <v>3.758</v>
      </c>
      <c r="V341" s="5" t="s">
        <v>3843</v>
      </c>
      <c r="W341" s="4">
        <v>39583</v>
      </c>
      <c r="X341" s="4">
        <v>187500</v>
      </c>
      <c r="Y341" s="11">
        <v>43278</v>
      </c>
      <c r="Z341" s="11">
        <v>45397</v>
      </c>
      <c r="AA341" s="2"/>
      <c r="AB341" s="63" t="s">
        <v>3840</v>
      </c>
      <c r="AC341" s="5" t="s">
        <v>4198</v>
      </c>
      <c r="AD341" s="2"/>
      <c r="AE341" s="11">
        <v>45306</v>
      </c>
      <c r="AF341" s="23">
        <v>100</v>
      </c>
      <c r="AG341" s="6"/>
      <c r="AH341" s="5" t="s">
        <v>3</v>
      </c>
      <c r="AI341" s="5" t="s">
        <v>3357</v>
      </c>
      <c r="AJ341" s="5" t="s">
        <v>3</v>
      </c>
      <c r="AK341" s="16" t="s">
        <v>3</v>
      </c>
      <c r="AL341" s="65" t="s">
        <v>3842</v>
      </c>
      <c r="AM341" s="31" t="s">
        <v>1651</v>
      </c>
    </row>
    <row r="342" spans="2:39" x14ac:dyDescent="0.25">
      <c r="B342" s="18" t="s">
        <v>962</v>
      </c>
      <c r="C342" s="44" t="s">
        <v>3594</v>
      </c>
      <c r="D342" s="20" t="s">
        <v>3358</v>
      </c>
      <c r="E342" s="67" t="s">
        <v>3</v>
      </c>
      <c r="F342" s="51" t="s">
        <v>3</v>
      </c>
      <c r="G342" s="37" t="s">
        <v>2715</v>
      </c>
      <c r="H342" s="68" t="s">
        <v>2715</v>
      </c>
      <c r="I342" s="62" t="s">
        <v>1358</v>
      </c>
      <c r="J342" s="61" t="s">
        <v>250</v>
      </c>
      <c r="K342" s="4">
        <v>3730613</v>
      </c>
      <c r="L342" s="39">
        <v>104.429</v>
      </c>
      <c r="M342" s="4">
        <v>3916088</v>
      </c>
      <c r="N342" s="4">
        <v>3750000</v>
      </c>
      <c r="O342" s="4">
        <v>3738976</v>
      </c>
      <c r="P342" s="4">
        <v>0</v>
      </c>
      <c r="Q342" s="4">
        <v>4784</v>
      </c>
      <c r="R342" s="4">
        <v>0</v>
      </c>
      <c r="S342" s="4">
        <v>0</v>
      </c>
      <c r="T342" s="23">
        <v>2.625</v>
      </c>
      <c r="U342" s="23">
        <v>2.7629999999999999</v>
      </c>
      <c r="V342" s="5" t="s">
        <v>12</v>
      </c>
      <c r="W342" s="4">
        <v>28984</v>
      </c>
      <c r="X342" s="4">
        <v>98438</v>
      </c>
      <c r="Y342" s="11">
        <v>43551</v>
      </c>
      <c r="Z342" s="11">
        <v>45000</v>
      </c>
      <c r="AA342" s="2"/>
      <c r="AB342" s="63" t="s">
        <v>3840</v>
      </c>
      <c r="AC342" s="5" t="s">
        <v>4198</v>
      </c>
      <c r="AD342" s="2"/>
      <c r="AE342" s="11">
        <v>44910</v>
      </c>
      <c r="AF342" s="23">
        <v>100</v>
      </c>
      <c r="AG342" s="6"/>
      <c r="AH342" s="5" t="s">
        <v>3595</v>
      </c>
      <c r="AI342" s="5" t="s">
        <v>1713</v>
      </c>
      <c r="AJ342" s="5" t="s">
        <v>1713</v>
      </c>
      <c r="AK342" s="16" t="s">
        <v>3</v>
      </c>
      <c r="AL342" s="65" t="s">
        <v>3842</v>
      </c>
      <c r="AM342" s="31" t="s">
        <v>559</v>
      </c>
    </row>
    <row r="343" spans="2:39" x14ac:dyDescent="0.25">
      <c r="B343" s="18" t="s">
        <v>2038</v>
      </c>
      <c r="C343" s="44" t="s">
        <v>3359</v>
      </c>
      <c r="D343" s="20" t="s">
        <v>1713</v>
      </c>
      <c r="E343" s="67" t="s">
        <v>3</v>
      </c>
      <c r="F343" s="51" t="s">
        <v>3</v>
      </c>
      <c r="G343" s="37" t="s">
        <v>2715</v>
      </c>
      <c r="H343" s="68" t="s">
        <v>2715</v>
      </c>
      <c r="I343" s="62" t="s">
        <v>1358</v>
      </c>
      <c r="J343" s="61" t="s">
        <v>250</v>
      </c>
      <c r="K343" s="4">
        <v>2863110</v>
      </c>
      <c r="L343" s="39">
        <v>109.999</v>
      </c>
      <c r="M343" s="4">
        <v>3299970</v>
      </c>
      <c r="N343" s="4">
        <v>3000000</v>
      </c>
      <c r="O343" s="4">
        <v>2904459</v>
      </c>
      <c r="P343" s="4">
        <v>0</v>
      </c>
      <c r="Q343" s="4">
        <v>20259</v>
      </c>
      <c r="R343" s="4">
        <v>0</v>
      </c>
      <c r="S343" s="4">
        <v>0</v>
      </c>
      <c r="T343" s="23">
        <v>3.15</v>
      </c>
      <c r="U343" s="23">
        <v>3.972</v>
      </c>
      <c r="V343" s="5" t="s">
        <v>3843</v>
      </c>
      <c r="W343" s="4">
        <v>23625</v>
      </c>
      <c r="X343" s="4">
        <v>94500</v>
      </c>
      <c r="Y343" s="11">
        <v>43433</v>
      </c>
      <c r="Z343" s="11">
        <v>45748</v>
      </c>
      <c r="AA343" s="2"/>
      <c r="AB343" s="63" t="s">
        <v>3840</v>
      </c>
      <c r="AC343" s="5" t="s">
        <v>4198</v>
      </c>
      <c r="AD343" s="2"/>
      <c r="AE343" s="10">
        <v>45658</v>
      </c>
      <c r="AF343" s="23">
        <v>100</v>
      </c>
      <c r="AG343" s="6"/>
      <c r="AH343" s="5" t="s">
        <v>3595</v>
      </c>
      <c r="AI343" s="5" t="s">
        <v>1713</v>
      </c>
      <c r="AJ343" s="5" t="s">
        <v>3</v>
      </c>
      <c r="AK343" s="16" t="s">
        <v>3</v>
      </c>
      <c r="AL343" s="65" t="s">
        <v>3842</v>
      </c>
      <c r="AM343" s="31" t="s">
        <v>559</v>
      </c>
    </row>
    <row r="344" spans="2:39" x14ac:dyDescent="0.25">
      <c r="B344" s="18" t="s">
        <v>3908</v>
      </c>
      <c r="C344" s="44" t="s">
        <v>1714</v>
      </c>
      <c r="D344" s="20" t="s">
        <v>4256</v>
      </c>
      <c r="E344" s="67" t="s">
        <v>3</v>
      </c>
      <c r="F344" s="51" t="s">
        <v>3</v>
      </c>
      <c r="G344" s="37" t="s">
        <v>2715</v>
      </c>
      <c r="H344" s="68" t="s">
        <v>3842</v>
      </c>
      <c r="I344" s="62" t="s">
        <v>3310</v>
      </c>
      <c r="J344" s="61" t="s">
        <v>250</v>
      </c>
      <c r="K344" s="4">
        <v>4987880</v>
      </c>
      <c r="L344" s="39">
        <v>103.91800000000001</v>
      </c>
      <c r="M344" s="4">
        <v>5195900</v>
      </c>
      <c r="N344" s="4">
        <v>5000000</v>
      </c>
      <c r="O344" s="4">
        <v>4994530</v>
      </c>
      <c r="P344" s="4">
        <v>0</v>
      </c>
      <c r="Q344" s="4">
        <v>3190</v>
      </c>
      <c r="R344" s="4">
        <v>0</v>
      </c>
      <c r="S344" s="4">
        <v>0</v>
      </c>
      <c r="T344" s="23">
        <v>2.95</v>
      </c>
      <c r="U344" s="23">
        <v>3.0190000000000001</v>
      </c>
      <c r="V344" s="5" t="s">
        <v>248</v>
      </c>
      <c r="W344" s="4">
        <v>52035</v>
      </c>
      <c r="X344" s="4">
        <v>147500</v>
      </c>
      <c r="Y344" s="11">
        <v>43553</v>
      </c>
      <c r="Z344" s="11">
        <v>44797</v>
      </c>
      <c r="AA344" s="2"/>
      <c r="AB344" s="63" t="s">
        <v>3840</v>
      </c>
      <c r="AC344" s="5" t="s">
        <v>4198</v>
      </c>
      <c r="AD344" s="2"/>
      <c r="AE344" s="11">
        <v>44766</v>
      </c>
      <c r="AF344" s="23">
        <v>100</v>
      </c>
      <c r="AG344" s="9"/>
      <c r="AH344" s="5" t="s">
        <v>963</v>
      </c>
      <c r="AI344" s="5" t="s">
        <v>4256</v>
      </c>
      <c r="AJ344" s="5" t="s">
        <v>3</v>
      </c>
      <c r="AK344" s="16" t="s">
        <v>3</v>
      </c>
      <c r="AL344" s="65" t="s">
        <v>3842</v>
      </c>
      <c r="AM344" s="31" t="s">
        <v>1651</v>
      </c>
    </row>
    <row r="345" spans="2:39" x14ac:dyDescent="0.25">
      <c r="B345" s="18" t="s">
        <v>613</v>
      </c>
      <c r="C345" s="44" t="s">
        <v>1715</v>
      </c>
      <c r="D345" s="20" t="s">
        <v>1389</v>
      </c>
      <c r="E345" s="67" t="s">
        <v>3</v>
      </c>
      <c r="F345" s="51" t="s">
        <v>3</v>
      </c>
      <c r="G345" s="37" t="s">
        <v>2715</v>
      </c>
      <c r="H345" s="68" t="s">
        <v>2715</v>
      </c>
      <c r="I345" s="62" t="s">
        <v>252</v>
      </c>
      <c r="J345" s="61" t="s">
        <v>250</v>
      </c>
      <c r="K345" s="4">
        <v>10063344</v>
      </c>
      <c r="L345" s="39">
        <v>102.092</v>
      </c>
      <c r="M345" s="4">
        <v>10275560</v>
      </c>
      <c r="N345" s="4">
        <v>10065000</v>
      </c>
      <c r="O345" s="4">
        <v>10063512</v>
      </c>
      <c r="P345" s="4">
        <v>0</v>
      </c>
      <c r="Q345" s="4">
        <v>168</v>
      </c>
      <c r="R345" s="4">
        <v>0</v>
      </c>
      <c r="S345" s="4">
        <v>0</v>
      </c>
      <c r="T345" s="23">
        <v>1.3</v>
      </c>
      <c r="U345" s="23">
        <v>1.3029999999999999</v>
      </c>
      <c r="V345" s="5" t="s">
        <v>3844</v>
      </c>
      <c r="W345" s="4">
        <v>5815</v>
      </c>
      <c r="X345" s="4">
        <v>65059</v>
      </c>
      <c r="Y345" s="11">
        <v>43987</v>
      </c>
      <c r="Z345" s="11">
        <v>45823</v>
      </c>
      <c r="AA345" s="2"/>
      <c r="AB345" s="63" t="s">
        <v>3840</v>
      </c>
      <c r="AC345" s="5" t="s">
        <v>4198</v>
      </c>
      <c r="AD345" s="2"/>
      <c r="AE345" s="11">
        <v>45792</v>
      </c>
      <c r="AF345" s="23">
        <v>100</v>
      </c>
      <c r="AG345" s="10">
        <v>45792</v>
      </c>
      <c r="AH345" s="5" t="s">
        <v>1390</v>
      </c>
      <c r="AI345" s="5" t="s">
        <v>2264</v>
      </c>
      <c r="AJ345" s="5" t="s">
        <v>928</v>
      </c>
      <c r="AK345" s="16" t="s">
        <v>3</v>
      </c>
      <c r="AL345" s="65" t="s">
        <v>3842</v>
      </c>
      <c r="AM345" s="31" t="s">
        <v>898</v>
      </c>
    </row>
    <row r="346" spans="2:39" x14ac:dyDescent="0.25">
      <c r="B346" s="18" t="s">
        <v>1716</v>
      </c>
      <c r="C346" s="44" t="s">
        <v>964</v>
      </c>
      <c r="D346" s="20" t="s">
        <v>2492</v>
      </c>
      <c r="E346" s="67" t="s">
        <v>3</v>
      </c>
      <c r="F346" s="51" t="s">
        <v>3</v>
      </c>
      <c r="G346" s="37" t="s">
        <v>2715</v>
      </c>
      <c r="H346" s="68" t="s">
        <v>3842</v>
      </c>
      <c r="I346" s="62" t="s">
        <v>1157</v>
      </c>
      <c r="J346" s="61" t="s">
        <v>250</v>
      </c>
      <c r="K346" s="4">
        <v>4876450</v>
      </c>
      <c r="L346" s="39">
        <v>111.239</v>
      </c>
      <c r="M346" s="4">
        <v>5561950</v>
      </c>
      <c r="N346" s="4">
        <v>5000000</v>
      </c>
      <c r="O346" s="4">
        <v>4914960</v>
      </c>
      <c r="P346" s="4">
        <v>0</v>
      </c>
      <c r="Q346" s="4">
        <v>18110</v>
      </c>
      <c r="R346" s="4">
        <v>0</v>
      </c>
      <c r="S346" s="4">
        <v>0</v>
      </c>
      <c r="T346" s="23">
        <v>3.8</v>
      </c>
      <c r="U346" s="23">
        <v>4.2460000000000004</v>
      </c>
      <c r="V346" s="5" t="s">
        <v>12</v>
      </c>
      <c r="W346" s="4">
        <v>55944</v>
      </c>
      <c r="X346" s="4">
        <v>190000</v>
      </c>
      <c r="Y346" s="11">
        <v>43403</v>
      </c>
      <c r="Z346" s="11">
        <v>45731</v>
      </c>
      <c r="AA346" s="2"/>
      <c r="AB346" s="63" t="s">
        <v>3840</v>
      </c>
      <c r="AC346" s="5" t="s">
        <v>4198</v>
      </c>
      <c r="AD346" s="2"/>
      <c r="AE346" s="11">
        <v>45641</v>
      </c>
      <c r="AF346" s="23">
        <v>100</v>
      </c>
      <c r="AG346" s="9"/>
      <c r="AH346" s="5" t="s">
        <v>2788</v>
      </c>
      <c r="AI346" s="5" t="s">
        <v>2493</v>
      </c>
      <c r="AJ346" s="5" t="s">
        <v>2265</v>
      </c>
      <c r="AK346" s="16" t="s">
        <v>3</v>
      </c>
      <c r="AL346" s="65" t="s">
        <v>3842</v>
      </c>
      <c r="AM346" s="31" t="s">
        <v>926</v>
      </c>
    </row>
    <row r="347" spans="2:39" x14ac:dyDescent="0.25">
      <c r="B347" s="18" t="s">
        <v>2789</v>
      </c>
      <c r="C347" s="44" t="s">
        <v>318</v>
      </c>
      <c r="D347" s="20" t="s">
        <v>1200</v>
      </c>
      <c r="E347" s="67" t="s">
        <v>3</v>
      </c>
      <c r="F347" s="51" t="s">
        <v>3</v>
      </c>
      <c r="G347" s="37" t="s">
        <v>2715</v>
      </c>
      <c r="H347" s="68" t="s">
        <v>3842</v>
      </c>
      <c r="I347" s="62" t="s">
        <v>3310</v>
      </c>
      <c r="J347" s="61" t="s">
        <v>250</v>
      </c>
      <c r="K347" s="4">
        <v>4096084</v>
      </c>
      <c r="L347" s="39">
        <v>104.36499999999999</v>
      </c>
      <c r="M347" s="4">
        <v>4305056</v>
      </c>
      <c r="N347" s="4">
        <v>4125000</v>
      </c>
      <c r="O347" s="4">
        <v>4115552</v>
      </c>
      <c r="P347" s="4">
        <v>0</v>
      </c>
      <c r="Q347" s="4">
        <v>4943</v>
      </c>
      <c r="R347" s="4">
        <v>0</v>
      </c>
      <c r="S347" s="4">
        <v>0</v>
      </c>
      <c r="T347" s="23">
        <v>2.75</v>
      </c>
      <c r="U347" s="23">
        <v>2.879</v>
      </c>
      <c r="V347" s="5" t="s">
        <v>3312</v>
      </c>
      <c r="W347" s="4">
        <v>18591</v>
      </c>
      <c r="X347" s="4">
        <v>113438</v>
      </c>
      <c r="Y347" s="11">
        <v>42692</v>
      </c>
      <c r="Z347" s="11">
        <v>44867</v>
      </c>
      <c r="AA347" s="2"/>
      <c r="AB347" s="63" t="s">
        <v>3840</v>
      </c>
      <c r="AC347" s="5" t="s">
        <v>4198</v>
      </c>
      <c r="AD347" s="2"/>
      <c r="AE347" s="9"/>
      <c r="AF347" s="23"/>
      <c r="AG347" s="6"/>
      <c r="AH347" s="5" t="s">
        <v>2494</v>
      </c>
      <c r="AI347" s="5" t="s">
        <v>1200</v>
      </c>
      <c r="AJ347" s="5" t="s">
        <v>3</v>
      </c>
      <c r="AK347" s="16" t="s">
        <v>3</v>
      </c>
      <c r="AL347" s="65" t="s">
        <v>2715</v>
      </c>
      <c r="AM347" s="31" t="s">
        <v>1651</v>
      </c>
    </row>
    <row r="348" spans="2:39" x14ac:dyDescent="0.25">
      <c r="B348" s="18" t="s">
        <v>3909</v>
      </c>
      <c r="C348" s="44" t="s">
        <v>319</v>
      </c>
      <c r="D348" s="20" t="s">
        <v>1391</v>
      </c>
      <c r="E348" s="67" t="s">
        <v>3</v>
      </c>
      <c r="F348" s="51" t="s">
        <v>3</v>
      </c>
      <c r="G348" s="37" t="s">
        <v>2715</v>
      </c>
      <c r="H348" s="68" t="s">
        <v>3842</v>
      </c>
      <c r="I348" s="62" t="s">
        <v>3310</v>
      </c>
      <c r="J348" s="61" t="s">
        <v>250</v>
      </c>
      <c r="K348" s="4">
        <v>4931990</v>
      </c>
      <c r="L348" s="39">
        <v>105.32</v>
      </c>
      <c r="M348" s="4">
        <v>5160680</v>
      </c>
      <c r="N348" s="4">
        <v>4900000</v>
      </c>
      <c r="O348" s="4">
        <v>4917172</v>
      </c>
      <c r="P348" s="4">
        <v>0</v>
      </c>
      <c r="Q348" s="4">
        <v>-8918</v>
      </c>
      <c r="R348" s="4">
        <v>0</v>
      </c>
      <c r="S348" s="4">
        <v>0</v>
      </c>
      <c r="T348" s="23">
        <v>3.25</v>
      </c>
      <c r="U348" s="23">
        <v>3.0539999999999998</v>
      </c>
      <c r="V348" s="5" t="s">
        <v>1982</v>
      </c>
      <c r="W348" s="4">
        <v>73874</v>
      </c>
      <c r="X348" s="4">
        <v>159250</v>
      </c>
      <c r="Y348" s="11">
        <v>43553</v>
      </c>
      <c r="Z348" s="11">
        <v>44940</v>
      </c>
      <c r="AA348" s="2"/>
      <c r="AB348" s="63" t="s">
        <v>3840</v>
      </c>
      <c r="AC348" s="5" t="s">
        <v>4198</v>
      </c>
      <c r="AD348" s="2"/>
      <c r="AE348" s="10">
        <v>44884</v>
      </c>
      <c r="AF348" s="23">
        <v>100</v>
      </c>
      <c r="AG348" s="10">
        <v>44884</v>
      </c>
      <c r="AH348" s="5" t="s">
        <v>4257</v>
      </c>
      <c r="AI348" s="5" t="s">
        <v>1391</v>
      </c>
      <c r="AJ348" s="5" t="s">
        <v>3</v>
      </c>
      <c r="AK348" s="16" t="s">
        <v>3</v>
      </c>
      <c r="AL348" s="65" t="s">
        <v>3842</v>
      </c>
      <c r="AM348" s="31" t="s">
        <v>1651</v>
      </c>
    </row>
    <row r="349" spans="2:39" x14ac:dyDescent="0.25">
      <c r="B349" s="18" t="s">
        <v>614</v>
      </c>
      <c r="C349" s="44" t="s">
        <v>3596</v>
      </c>
      <c r="D349" s="20" t="s">
        <v>1392</v>
      </c>
      <c r="E349" s="67" t="s">
        <v>3</v>
      </c>
      <c r="F349" s="51" t="s">
        <v>3</v>
      </c>
      <c r="G349" s="37" t="s">
        <v>2715</v>
      </c>
      <c r="H349" s="68" t="s">
        <v>2715</v>
      </c>
      <c r="I349" s="62" t="s">
        <v>252</v>
      </c>
      <c r="J349" s="61" t="s">
        <v>250</v>
      </c>
      <c r="K349" s="4">
        <v>13258400</v>
      </c>
      <c r="L349" s="39">
        <v>105.58199999999999</v>
      </c>
      <c r="M349" s="4">
        <v>13725660</v>
      </c>
      <c r="N349" s="4">
        <v>13000000</v>
      </c>
      <c r="O349" s="4">
        <v>13238796</v>
      </c>
      <c r="P349" s="4">
        <v>0</v>
      </c>
      <c r="Q349" s="4">
        <v>-19604</v>
      </c>
      <c r="R349" s="4">
        <v>0</v>
      </c>
      <c r="S349" s="4">
        <v>0</v>
      </c>
      <c r="T349" s="23">
        <v>1.8</v>
      </c>
      <c r="U349" s="23">
        <v>1.506</v>
      </c>
      <c r="V349" s="5" t="s">
        <v>3843</v>
      </c>
      <c r="W349" s="4">
        <v>49400</v>
      </c>
      <c r="X349" s="4">
        <v>107900</v>
      </c>
      <c r="Y349" s="11">
        <v>43985</v>
      </c>
      <c r="Z349" s="11">
        <v>46675</v>
      </c>
      <c r="AA349" s="2"/>
      <c r="AB349" s="63" t="s">
        <v>3840</v>
      </c>
      <c r="AC349" s="5" t="s">
        <v>4198</v>
      </c>
      <c r="AD349" s="2"/>
      <c r="AE349" s="10">
        <v>46614</v>
      </c>
      <c r="AF349" s="23">
        <v>100</v>
      </c>
      <c r="AG349" s="10">
        <v>46614</v>
      </c>
      <c r="AH349" s="5" t="s">
        <v>2039</v>
      </c>
      <c r="AI349" s="5" t="s">
        <v>1392</v>
      </c>
      <c r="AJ349" s="5" t="s">
        <v>3</v>
      </c>
      <c r="AK349" s="16" t="s">
        <v>3</v>
      </c>
      <c r="AL349" s="65" t="s">
        <v>3842</v>
      </c>
      <c r="AM349" s="31" t="s">
        <v>898</v>
      </c>
    </row>
    <row r="350" spans="2:39" x14ac:dyDescent="0.25">
      <c r="B350" s="18" t="s">
        <v>2040</v>
      </c>
      <c r="C350" s="44" t="s">
        <v>3597</v>
      </c>
      <c r="D350" s="20" t="s">
        <v>3910</v>
      </c>
      <c r="E350" s="67" t="s">
        <v>3</v>
      </c>
      <c r="F350" s="51" t="s">
        <v>3</v>
      </c>
      <c r="G350" s="37" t="s">
        <v>2715</v>
      </c>
      <c r="H350" s="68" t="s">
        <v>3842</v>
      </c>
      <c r="I350" s="62" t="s">
        <v>1157</v>
      </c>
      <c r="J350" s="61" t="s">
        <v>250</v>
      </c>
      <c r="K350" s="4">
        <v>4995684</v>
      </c>
      <c r="L350" s="39">
        <v>100.78700000000001</v>
      </c>
      <c r="M350" s="4">
        <v>5039351</v>
      </c>
      <c r="N350" s="4">
        <v>5000000</v>
      </c>
      <c r="O350" s="4">
        <v>4999538</v>
      </c>
      <c r="P350" s="4">
        <v>0</v>
      </c>
      <c r="Q350" s="4">
        <v>996</v>
      </c>
      <c r="R350" s="4">
        <v>0</v>
      </c>
      <c r="S350" s="4">
        <v>0</v>
      </c>
      <c r="T350" s="23">
        <v>2.7</v>
      </c>
      <c r="U350" s="23">
        <v>2.7210000000000001</v>
      </c>
      <c r="V350" s="5" t="s">
        <v>3844</v>
      </c>
      <c r="W350" s="4">
        <v>6000</v>
      </c>
      <c r="X350" s="4">
        <v>135000</v>
      </c>
      <c r="Y350" s="11">
        <v>42752</v>
      </c>
      <c r="Z350" s="11">
        <v>44362</v>
      </c>
      <c r="AA350" s="2"/>
      <c r="AB350" s="63" t="s">
        <v>3840</v>
      </c>
      <c r="AC350" s="5" t="s">
        <v>4198</v>
      </c>
      <c r="AD350" s="2"/>
      <c r="AE350" s="10">
        <v>44331</v>
      </c>
      <c r="AF350" s="23">
        <v>100</v>
      </c>
      <c r="AG350" s="6"/>
      <c r="AH350" s="5" t="s">
        <v>3</v>
      </c>
      <c r="AI350" s="5" t="s">
        <v>3910</v>
      </c>
      <c r="AJ350" s="5" t="s">
        <v>3</v>
      </c>
      <c r="AK350" s="16" t="s">
        <v>3</v>
      </c>
      <c r="AL350" s="65" t="s">
        <v>3842</v>
      </c>
      <c r="AM350" s="31" t="s">
        <v>926</v>
      </c>
    </row>
    <row r="351" spans="2:39" x14ac:dyDescent="0.25">
      <c r="B351" s="18" t="s">
        <v>3119</v>
      </c>
      <c r="C351" s="44" t="s">
        <v>2041</v>
      </c>
      <c r="D351" s="20" t="s">
        <v>3360</v>
      </c>
      <c r="E351" s="67" t="s">
        <v>3</v>
      </c>
      <c r="F351" s="51" t="s">
        <v>3</v>
      </c>
      <c r="G351" s="37" t="s">
        <v>2715</v>
      </c>
      <c r="H351" s="68" t="s">
        <v>929</v>
      </c>
      <c r="I351" s="62" t="s">
        <v>1157</v>
      </c>
      <c r="J351" s="61" t="s">
        <v>250</v>
      </c>
      <c r="K351" s="4">
        <v>2020000</v>
      </c>
      <c r="L351" s="39">
        <v>104.624</v>
      </c>
      <c r="M351" s="4">
        <v>2092480</v>
      </c>
      <c r="N351" s="4">
        <v>2000000</v>
      </c>
      <c r="O351" s="4">
        <v>2006212</v>
      </c>
      <c r="P351" s="4">
        <v>0</v>
      </c>
      <c r="Q351" s="4">
        <v>-2708</v>
      </c>
      <c r="R351" s="4">
        <v>0</v>
      </c>
      <c r="S351" s="4">
        <v>0</v>
      </c>
      <c r="T351" s="23">
        <v>5</v>
      </c>
      <c r="U351" s="23">
        <v>4.8449999999999998</v>
      </c>
      <c r="V351" s="5" t="s">
        <v>3843</v>
      </c>
      <c r="W351" s="4">
        <v>16944</v>
      </c>
      <c r="X351" s="4">
        <v>100000</v>
      </c>
      <c r="Y351" s="11">
        <v>42103</v>
      </c>
      <c r="Z351" s="11">
        <v>45046</v>
      </c>
      <c r="AA351" s="2"/>
      <c r="AB351" s="63" t="s">
        <v>3840</v>
      </c>
      <c r="AC351" s="5" t="s">
        <v>4198</v>
      </c>
      <c r="AD351" s="2"/>
      <c r="AE351" s="10">
        <v>44956</v>
      </c>
      <c r="AF351" s="23">
        <v>100</v>
      </c>
      <c r="AG351" s="10">
        <v>44956</v>
      </c>
      <c r="AH351" s="5" t="s">
        <v>3120</v>
      </c>
      <c r="AI351" s="5" t="s">
        <v>3598</v>
      </c>
      <c r="AJ351" s="5" t="s">
        <v>2042</v>
      </c>
      <c r="AK351" s="16" t="s">
        <v>3</v>
      </c>
      <c r="AL351" s="65" t="s">
        <v>3842</v>
      </c>
      <c r="AM351" s="31" t="s">
        <v>276</v>
      </c>
    </row>
    <row r="352" spans="2:39" x14ac:dyDescent="0.25">
      <c r="B352" s="18" t="s">
        <v>4258</v>
      </c>
      <c r="C352" s="44" t="s">
        <v>2790</v>
      </c>
      <c r="D352" s="20" t="s">
        <v>2791</v>
      </c>
      <c r="E352" s="67" t="s">
        <v>3</v>
      </c>
      <c r="F352" s="51" t="s">
        <v>3</v>
      </c>
      <c r="G352" s="37" t="s">
        <v>2715</v>
      </c>
      <c r="H352" s="68" t="s">
        <v>3842</v>
      </c>
      <c r="I352" s="62" t="s">
        <v>1157</v>
      </c>
      <c r="J352" s="61" t="s">
        <v>250</v>
      </c>
      <c r="K352" s="4">
        <v>4982300</v>
      </c>
      <c r="L352" s="39">
        <v>109.55800000000001</v>
      </c>
      <c r="M352" s="4">
        <v>5477900</v>
      </c>
      <c r="N352" s="4">
        <v>5000000</v>
      </c>
      <c r="O352" s="4">
        <v>4988224</v>
      </c>
      <c r="P352" s="4">
        <v>0</v>
      </c>
      <c r="Q352" s="4">
        <v>3248</v>
      </c>
      <c r="R352" s="4">
        <v>0</v>
      </c>
      <c r="S352" s="4">
        <v>0</v>
      </c>
      <c r="T352" s="23">
        <v>4.5</v>
      </c>
      <c r="U352" s="23">
        <v>4.5780000000000003</v>
      </c>
      <c r="V352" s="5" t="s">
        <v>3843</v>
      </c>
      <c r="W352" s="4">
        <v>47500</v>
      </c>
      <c r="X352" s="4">
        <v>225000</v>
      </c>
      <c r="Y352" s="11">
        <v>43473</v>
      </c>
      <c r="Z352" s="11">
        <v>45397</v>
      </c>
      <c r="AA352" s="2"/>
      <c r="AB352" s="63" t="s">
        <v>3840</v>
      </c>
      <c r="AC352" s="5" t="s">
        <v>4198</v>
      </c>
      <c r="AD352" s="2"/>
      <c r="AE352" s="11">
        <v>45366</v>
      </c>
      <c r="AF352" s="23">
        <v>100</v>
      </c>
      <c r="AG352" s="6"/>
      <c r="AH352" s="5" t="s">
        <v>3911</v>
      </c>
      <c r="AI352" s="5" t="s">
        <v>2791</v>
      </c>
      <c r="AJ352" s="5" t="s">
        <v>3</v>
      </c>
      <c r="AK352" s="16" t="s">
        <v>3</v>
      </c>
      <c r="AL352" s="65" t="s">
        <v>3842</v>
      </c>
      <c r="AM352" s="31" t="s">
        <v>926</v>
      </c>
    </row>
    <row r="353" spans="2:39" x14ac:dyDescent="0.25">
      <c r="B353" s="18" t="s">
        <v>965</v>
      </c>
      <c r="C353" s="44" t="s">
        <v>966</v>
      </c>
      <c r="D353" s="20" t="s">
        <v>2791</v>
      </c>
      <c r="E353" s="67" t="s">
        <v>3</v>
      </c>
      <c r="F353" s="51" t="s">
        <v>3</v>
      </c>
      <c r="G353" s="37" t="s">
        <v>2715</v>
      </c>
      <c r="H353" s="68" t="s">
        <v>3842</v>
      </c>
      <c r="I353" s="62" t="s">
        <v>1157</v>
      </c>
      <c r="J353" s="61" t="s">
        <v>250</v>
      </c>
      <c r="K353" s="4">
        <v>8026500</v>
      </c>
      <c r="L353" s="39">
        <v>105.80200000000001</v>
      </c>
      <c r="M353" s="4">
        <v>8464160</v>
      </c>
      <c r="N353" s="4">
        <v>8000000</v>
      </c>
      <c r="O353" s="4">
        <v>8022190</v>
      </c>
      <c r="P353" s="4">
        <v>0</v>
      </c>
      <c r="Q353" s="4">
        <v>-4310</v>
      </c>
      <c r="R353" s="4">
        <v>0</v>
      </c>
      <c r="S353" s="4">
        <v>0</v>
      </c>
      <c r="T353" s="23">
        <v>2.9</v>
      </c>
      <c r="U353" s="23">
        <v>2.831</v>
      </c>
      <c r="V353" s="5" t="s">
        <v>3312</v>
      </c>
      <c r="W353" s="4">
        <v>29644</v>
      </c>
      <c r="X353" s="4">
        <v>188822</v>
      </c>
      <c r="Y353" s="11">
        <v>43873</v>
      </c>
      <c r="Z353" s="11">
        <v>45792</v>
      </c>
      <c r="AA353" s="2"/>
      <c r="AB353" s="63" t="s">
        <v>3840</v>
      </c>
      <c r="AC353" s="5" t="s">
        <v>4198</v>
      </c>
      <c r="AD353" s="2"/>
      <c r="AE353" s="10">
        <v>45762</v>
      </c>
      <c r="AF353" s="23">
        <v>100</v>
      </c>
      <c r="AG353" s="10">
        <v>45762</v>
      </c>
      <c r="AH353" s="5" t="s">
        <v>3911</v>
      </c>
      <c r="AI353" s="5" t="s">
        <v>2791</v>
      </c>
      <c r="AJ353" s="5" t="s">
        <v>3</v>
      </c>
      <c r="AK353" s="16" t="s">
        <v>3</v>
      </c>
      <c r="AL353" s="65" t="s">
        <v>3842</v>
      </c>
      <c r="AM353" s="31" t="s">
        <v>926</v>
      </c>
    </row>
    <row r="354" spans="2:39" x14ac:dyDescent="0.25">
      <c r="B354" s="18" t="s">
        <v>2792</v>
      </c>
      <c r="C354" s="44" t="s">
        <v>967</v>
      </c>
      <c r="D354" s="20" t="s">
        <v>3599</v>
      </c>
      <c r="E354" s="67" t="s">
        <v>3</v>
      </c>
      <c r="F354" s="51" t="s">
        <v>3</v>
      </c>
      <c r="G354" s="37" t="s">
        <v>2715</v>
      </c>
      <c r="H354" s="68" t="s">
        <v>2715</v>
      </c>
      <c r="I354" s="62" t="s">
        <v>252</v>
      </c>
      <c r="J354" s="61" t="s">
        <v>250</v>
      </c>
      <c r="K354" s="4">
        <v>1483965</v>
      </c>
      <c r="L354" s="39">
        <v>112.965</v>
      </c>
      <c r="M354" s="4">
        <v>1694475</v>
      </c>
      <c r="N354" s="4">
        <v>1500000</v>
      </c>
      <c r="O354" s="4">
        <v>1488695</v>
      </c>
      <c r="P354" s="4">
        <v>0</v>
      </c>
      <c r="Q354" s="4">
        <v>1920</v>
      </c>
      <c r="R354" s="4">
        <v>0</v>
      </c>
      <c r="S354" s="4">
        <v>0</v>
      </c>
      <c r="T354" s="23">
        <v>3.5</v>
      </c>
      <c r="U354" s="23">
        <v>3.6589999999999998</v>
      </c>
      <c r="V354" s="5" t="s">
        <v>3843</v>
      </c>
      <c r="W354" s="4">
        <v>13125</v>
      </c>
      <c r="X354" s="4">
        <v>52500</v>
      </c>
      <c r="Y354" s="11">
        <v>43278</v>
      </c>
      <c r="Z354" s="11">
        <v>46113</v>
      </c>
      <c r="AA354" s="2"/>
      <c r="AB354" s="63" t="s">
        <v>3840</v>
      </c>
      <c r="AC354" s="5" t="s">
        <v>4198</v>
      </c>
      <c r="AD354" s="2"/>
      <c r="AE354" s="10">
        <v>46023</v>
      </c>
      <c r="AF354" s="23">
        <v>100</v>
      </c>
      <c r="AG354" s="6"/>
      <c r="AH354" s="5" t="s">
        <v>3361</v>
      </c>
      <c r="AI354" s="5" t="s">
        <v>1717</v>
      </c>
      <c r="AJ354" s="5" t="s">
        <v>4259</v>
      </c>
      <c r="AK354" s="16" t="s">
        <v>3</v>
      </c>
      <c r="AL354" s="65" t="s">
        <v>2715</v>
      </c>
      <c r="AM354" s="31" t="s">
        <v>898</v>
      </c>
    </row>
    <row r="355" spans="2:39" x14ac:dyDescent="0.25">
      <c r="B355" s="18" t="s">
        <v>3912</v>
      </c>
      <c r="C355" s="44" t="s">
        <v>2495</v>
      </c>
      <c r="D355" s="20" t="s">
        <v>2793</v>
      </c>
      <c r="E355" s="67" t="s">
        <v>3</v>
      </c>
      <c r="F355" s="51" t="s">
        <v>3</v>
      </c>
      <c r="G355" s="37" t="s">
        <v>2715</v>
      </c>
      <c r="H355" s="68" t="s">
        <v>3842</v>
      </c>
      <c r="I355" s="62" t="s">
        <v>1157</v>
      </c>
      <c r="J355" s="61" t="s">
        <v>250</v>
      </c>
      <c r="K355" s="4">
        <v>8774101</v>
      </c>
      <c r="L355" s="39">
        <v>102.96299999999999</v>
      </c>
      <c r="M355" s="4">
        <v>8777596</v>
      </c>
      <c r="N355" s="4">
        <v>8525000</v>
      </c>
      <c r="O355" s="4">
        <v>8771354</v>
      </c>
      <c r="P355" s="4">
        <v>0</v>
      </c>
      <c r="Q355" s="4">
        <v>-2747</v>
      </c>
      <c r="R355" s="4">
        <v>0</v>
      </c>
      <c r="S355" s="4">
        <v>0</v>
      </c>
      <c r="T355" s="23">
        <v>1.8</v>
      </c>
      <c r="U355" s="23">
        <v>1.325</v>
      </c>
      <c r="V355" s="5" t="s">
        <v>1982</v>
      </c>
      <c r="W355" s="4">
        <v>80561</v>
      </c>
      <c r="X355" s="4">
        <v>0</v>
      </c>
      <c r="Y355" s="11">
        <v>44167</v>
      </c>
      <c r="Z355" s="11">
        <v>46583</v>
      </c>
      <c r="AA355" s="2"/>
      <c r="AB355" s="63" t="s">
        <v>3840</v>
      </c>
      <c r="AC355" s="5" t="s">
        <v>4198</v>
      </c>
      <c r="AD355" s="2"/>
      <c r="AE355" s="10">
        <v>46522</v>
      </c>
      <c r="AF355" s="23">
        <v>100</v>
      </c>
      <c r="AG355" s="10">
        <v>46522</v>
      </c>
      <c r="AH355" s="5" t="s">
        <v>3</v>
      </c>
      <c r="AI355" s="5" t="s">
        <v>2793</v>
      </c>
      <c r="AJ355" s="5" t="s">
        <v>3</v>
      </c>
      <c r="AK355" s="16" t="s">
        <v>3</v>
      </c>
      <c r="AL355" s="65" t="s">
        <v>3842</v>
      </c>
      <c r="AM355" s="31" t="s">
        <v>926</v>
      </c>
    </row>
    <row r="356" spans="2:39" x14ac:dyDescent="0.25">
      <c r="B356" s="18" t="s">
        <v>615</v>
      </c>
      <c r="C356" s="44" t="s">
        <v>2794</v>
      </c>
      <c r="D356" s="20" t="s">
        <v>2795</v>
      </c>
      <c r="E356" s="67" t="s">
        <v>3</v>
      </c>
      <c r="F356" s="51" t="s">
        <v>3</v>
      </c>
      <c r="G356" s="37" t="s">
        <v>3</v>
      </c>
      <c r="H356" s="68" t="s">
        <v>2715</v>
      </c>
      <c r="I356" s="62" t="s">
        <v>252</v>
      </c>
      <c r="J356" s="61" t="s">
        <v>250</v>
      </c>
      <c r="K356" s="4">
        <v>6987190</v>
      </c>
      <c r="L356" s="39">
        <v>102.64</v>
      </c>
      <c r="M356" s="4">
        <v>7184800</v>
      </c>
      <c r="N356" s="4">
        <v>7000000</v>
      </c>
      <c r="O356" s="4">
        <v>6988389</v>
      </c>
      <c r="P356" s="4">
        <v>0</v>
      </c>
      <c r="Q356" s="4">
        <v>1199</v>
      </c>
      <c r="R356" s="4">
        <v>0</v>
      </c>
      <c r="S356" s="4">
        <v>0</v>
      </c>
      <c r="T356" s="23">
        <v>1.4</v>
      </c>
      <c r="U356" s="23">
        <v>1.4379999999999999</v>
      </c>
      <c r="V356" s="5" t="s">
        <v>1982</v>
      </c>
      <c r="W356" s="4">
        <v>47367</v>
      </c>
      <c r="X356" s="4">
        <v>0</v>
      </c>
      <c r="Y356" s="11">
        <v>44011</v>
      </c>
      <c r="Z356" s="11">
        <v>45845</v>
      </c>
      <c r="AA356" s="2"/>
      <c r="AB356" s="63" t="s">
        <v>3840</v>
      </c>
      <c r="AC356" s="5" t="s">
        <v>4198</v>
      </c>
      <c r="AD356" s="2"/>
      <c r="AE356" s="6"/>
      <c r="AF356" s="23"/>
      <c r="AG356" s="6"/>
      <c r="AH356" s="5" t="s">
        <v>320</v>
      </c>
      <c r="AI356" s="5" t="s">
        <v>2266</v>
      </c>
      <c r="AJ356" s="5" t="s">
        <v>928</v>
      </c>
      <c r="AK356" s="16" t="s">
        <v>3</v>
      </c>
      <c r="AL356" s="65" t="s">
        <v>2715</v>
      </c>
      <c r="AM356" s="31" t="s">
        <v>898</v>
      </c>
    </row>
    <row r="357" spans="2:39" x14ac:dyDescent="0.25">
      <c r="B357" s="18" t="s">
        <v>1718</v>
      </c>
      <c r="C357" s="44" t="s">
        <v>1201</v>
      </c>
      <c r="D357" s="20" t="s">
        <v>3121</v>
      </c>
      <c r="E357" s="67" t="s">
        <v>3</v>
      </c>
      <c r="F357" s="51" t="s">
        <v>3</v>
      </c>
      <c r="G357" s="37" t="s">
        <v>2715</v>
      </c>
      <c r="H357" s="68" t="s">
        <v>2715</v>
      </c>
      <c r="I357" s="62" t="s">
        <v>3538</v>
      </c>
      <c r="J357" s="61" t="s">
        <v>250</v>
      </c>
      <c r="K357" s="4">
        <v>4971050</v>
      </c>
      <c r="L357" s="39">
        <v>105.553</v>
      </c>
      <c r="M357" s="4">
        <v>5277650</v>
      </c>
      <c r="N357" s="4">
        <v>5000000</v>
      </c>
      <c r="O357" s="4">
        <v>4977200</v>
      </c>
      <c r="P357" s="4">
        <v>0</v>
      </c>
      <c r="Q357" s="4">
        <v>5550</v>
      </c>
      <c r="R357" s="4">
        <v>0</v>
      </c>
      <c r="S357" s="4">
        <v>0</v>
      </c>
      <c r="T357" s="23">
        <v>2</v>
      </c>
      <c r="U357" s="23">
        <v>2.1219999999999999</v>
      </c>
      <c r="V357" s="5" t="s">
        <v>3844</v>
      </c>
      <c r="W357" s="4">
        <v>8333</v>
      </c>
      <c r="X357" s="4">
        <v>102778</v>
      </c>
      <c r="Y357" s="11">
        <v>43788</v>
      </c>
      <c r="Z357" s="11">
        <v>45627</v>
      </c>
      <c r="AA357" s="2"/>
      <c r="AB357" s="63" t="s">
        <v>3840</v>
      </c>
      <c r="AC357" s="5" t="s">
        <v>4198</v>
      </c>
      <c r="AD357" s="2"/>
      <c r="AE357" s="10">
        <v>45597</v>
      </c>
      <c r="AF357" s="23">
        <v>100</v>
      </c>
      <c r="AG357" s="6"/>
      <c r="AH357" s="5" t="s">
        <v>2267</v>
      </c>
      <c r="AI357" s="5" t="s">
        <v>3121</v>
      </c>
      <c r="AJ357" s="5" t="s">
        <v>3</v>
      </c>
      <c r="AK357" s="16" t="s">
        <v>3</v>
      </c>
      <c r="AL357" s="65" t="s">
        <v>3842</v>
      </c>
      <c r="AM357" s="31" t="s">
        <v>1161</v>
      </c>
    </row>
    <row r="358" spans="2:39" x14ac:dyDescent="0.25">
      <c r="B358" s="18" t="s">
        <v>2796</v>
      </c>
      <c r="C358" s="44" t="s">
        <v>1719</v>
      </c>
      <c r="D358" s="20" t="s">
        <v>69</v>
      </c>
      <c r="E358" s="67" t="s">
        <v>3</v>
      </c>
      <c r="F358" s="51" t="s">
        <v>3</v>
      </c>
      <c r="G358" s="37" t="s">
        <v>2715</v>
      </c>
      <c r="H358" s="68" t="s">
        <v>3842</v>
      </c>
      <c r="I358" s="62" t="s">
        <v>3310</v>
      </c>
      <c r="J358" s="61" t="s">
        <v>250</v>
      </c>
      <c r="K358" s="4">
        <v>4981900</v>
      </c>
      <c r="L358" s="39">
        <v>109.14700000000001</v>
      </c>
      <c r="M358" s="4">
        <v>5457350</v>
      </c>
      <c r="N358" s="4">
        <v>5000000</v>
      </c>
      <c r="O358" s="4">
        <v>4988923</v>
      </c>
      <c r="P358" s="4">
        <v>0</v>
      </c>
      <c r="Q358" s="4">
        <v>3522</v>
      </c>
      <c r="R358" s="4">
        <v>0</v>
      </c>
      <c r="S358" s="4">
        <v>0</v>
      </c>
      <c r="T358" s="23">
        <v>3.8</v>
      </c>
      <c r="U358" s="23">
        <v>3.8809999999999998</v>
      </c>
      <c r="V358" s="5" t="s">
        <v>3844</v>
      </c>
      <c r="W358" s="4">
        <v>15833</v>
      </c>
      <c r="X358" s="4">
        <v>190000</v>
      </c>
      <c r="Y358" s="11">
        <v>43444</v>
      </c>
      <c r="Z358" s="11">
        <v>45261</v>
      </c>
      <c r="AA358" s="2"/>
      <c r="AB358" s="63" t="s">
        <v>3840</v>
      </c>
      <c r="AC358" s="5" t="s">
        <v>4198</v>
      </c>
      <c r="AD358" s="2"/>
      <c r="AE358" s="11">
        <v>45231</v>
      </c>
      <c r="AF358" s="23">
        <v>100</v>
      </c>
      <c r="AG358" s="9"/>
      <c r="AH358" s="5" t="s">
        <v>3600</v>
      </c>
      <c r="AI358" s="5" t="s">
        <v>69</v>
      </c>
      <c r="AJ358" s="5" t="s">
        <v>3</v>
      </c>
      <c r="AK358" s="16" t="s">
        <v>3</v>
      </c>
      <c r="AL358" s="65" t="s">
        <v>3842</v>
      </c>
      <c r="AM358" s="31" t="s">
        <v>1651</v>
      </c>
    </row>
    <row r="359" spans="2:39" x14ac:dyDescent="0.25">
      <c r="B359" s="18" t="s">
        <v>4260</v>
      </c>
      <c r="C359" s="44" t="s">
        <v>3362</v>
      </c>
      <c r="D359" s="20" t="s">
        <v>2043</v>
      </c>
      <c r="E359" s="67" t="s">
        <v>3</v>
      </c>
      <c r="F359" s="51" t="s">
        <v>3</v>
      </c>
      <c r="G359" s="37" t="s">
        <v>2715</v>
      </c>
      <c r="H359" s="68" t="s">
        <v>3842</v>
      </c>
      <c r="I359" s="62" t="s">
        <v>1157</v>
      </c>
      <c r="J359" s="61" t="s">
        <v>250</v>
      </c>
      <c r="K359" s="4">
        <v>4495465</v>
      </c>
      <c r="L359" s="39">
        <v>111.489</v>
      </c>
      <c r="M359" s="4">
        <v>5017005</v>
      </c>
      <c r="N359" s="4">
        <v>4500000</v>
      </c>
      <c r="O359" s="4">
        <v>4496248</v>
      </c>
      <c r="P359" s="4">
        <v>0</v>
      </c>
      <c r="Q359" s="4">
        <v>612</v>
      </c>
      <c r="R359" s="4">
        <v>0</v>
      </c>
      <c r="S359" s="4">
        <v>0</v>
      </c>
      <c r="T359" s="23">
        <v>3.2</v>
      </c>
      <c r="U359" s="23">
        <v>3.2160000000000002</v>
      </c>
      <c r="V359" s="5" t="s">
        <v>3843</v>
      </c>
      <c r="W359" s="4">
        <v>36000</v>
      </c>
      <c r="X359" s="4">
        <v>148400</v>
      </c>
      <c r="Y359" s="11">
        <v>43725</v>
      </c>
      <c r="Z359" s="11">
        <v>46296</v>
      </c>
      <c r="AA359" s="2"/>
      <c r="AB359" s="63" t="s">
        <v>3840</v>
      </c>
      <c r="AC359" s="5" t="s">
        <v>4198</v>
      </c>
      <c r="AD359" s="2"/>
      <c r="AE359" s="11">
        <v>46235</v>
      </c>
      <c r="AF359" s="23">
        <v>100</v>
      </c>
      <c r="AG359" s="6"/>
      <c r="AH359" s="5" t="s">
        <v>3</v>
      </c>
      <c r="AI359" s="5" t="s">
        <v>2043</v>
      </c>
      <c r="AJ359" s="5" t="s">
        <v>3</v>
      </c>
      <c r="AK359" s="16" t="s">
        <v>3</v>
      </c>
      <c r="AL359" s="65" t="s">
        <v>3842</v>
      </c>
      <c r="AM359" s="31" t="s">
        <v>926</v>
      </c>
    </row>
    <row r="360" spans="2:39" x14ac:dyDescent="0.25">
      <c r="B360" s="18" t="s">
        <v>968</v>
      </c>
      <c r="C360" s="44" t="s">
        <v>3601</v>
      </c>
      <c r="D360" s="20" t="s">
        <v>3913</v>
      </c>
      <c r="E360" s="67" t="s">
        <v>3</v>
      </c>
      <c r="F360" s="51" t="s">
        <v>3</v>
      </c>
      <c r="G360" s="37" t="s">
        <v>2715</v>
      </c>
      <c r="H360" s="68" t="s">
        <v>3842</v>
      </c>
      <c r="I360" s="62" t="s">
        <v>3310</v>
      </c>
      <c r="J360" s="61" t="s">
        <v>250</v>
      </c>
      <c r="K360" s="4">
        <v>4990150</v>
      </c>
      <c r="L360" s="39">
        <v>108.76600000000001</v>
      </c>
      <c r="M360" s="4">
        <v>5438300</v>
      </c>
      <c r="N360" s="4">
        <v>5000000</v>
      </c>
      <c r="O360" s="4">
        <v>4991000</v>
      </c>
      <c r="P360" s="4">
        <v>0</v>
      </c>
      <c r="Q360" s="4">
        <v>850</v>
      </c>
      <c r="R360" s="4">
        <v>0</v>
      </c>
      <c r="S360" s="4">
        <v>0</v>
      </c>
      <c r="T360" s="23">
        <v>2.5499999999999998</v>
      </c>
      <c r="U360" s="23">
        <v>2.581</v>
      </c>
      <c r="V360" s="5" t="s">
        <v>3312</v>
      </c>
      <c r="W360" s="4">
        <v>19833</v>
      </c>
      <c r="X360" s="4">
        <v>63750</v>
      </c>
      <c r="Y360" s="11">
        <v>43951</v>
      </c>
      <c r="Z360" s="11">
        <v>46512</v>
      </c>
      <c r="AA360" s="2"/>
      <c r="AB360" s="63" t="s">
        <v>3840</v>
      </c>
      <c r="AC360" s="5" t="s">
        <v>4198</v>
      </c>
      <c r="AD360" s="2"/>
      <c r="AE360" s="11">
        <v>46482</v>
      </c>
      <c r="AF360" s="23">
        <v>100</v>
      </c>
      <c r="AG360" s="6"/>
      <c r="AH360" s="5" t="s">
        <v>1393</v>
      </c>
      <c r="AI360" s="5" t="s">
        <v>3913</v>
      </c>
      <c r="AJ360" s="5" t="s">
        <v>3</v>
      </c>
      <c r="AK360" s="16" t="s">
        <v>3</v>
      </c>
      <c r="AL360" s="65" t="s">
        <v>3842</v>
      </c>
      <c r="AM360" s="31" t="s">
        <v>1651</v>
      </c>
    </row>
    <row r="361" spans="2:39" x14ac:dyDescent="0.25">
      <c r="B361" s="18" t="s">
        <v>2044</v>
      </c>
      <c r="C361" s="44" t="s">
        <v>2496</v>
      </c>
      <c r="D361" s="20" t="s">
        <v>1202</v>
      </c>
      <c r="E361" s="67" t="s">
        <v>3</v>
      </c>
      <c r="F361" s="51" t="s">
        <v>3</v>
      </c>
      <c r="G361" s="37" t="s">
        <v>3842</v>
      </c>
      <c r="H361" s="68" t="s">
        <v>2715</v>
      </c>
      <c r="I361" s="62" t="s">
        <v>1358</v>
      </c>
      <c r="J361" s="61" t="s">
        <v>250</v>
      </c>
      <c r="K361" s="4">
        <v>5098400</v>
      </c>
      <c r="L361" s="39">
        <v>114.288</v>
      </c>
      <c r="M361" s="4">
        <v>5714400</v>
      </c>
      <c r="N361" s="4">
        <v>5000000</v>
      </c>
      <c r="O361" s="4">
        <v>5072578</v>
      </c>
      <c r="P361" s="4">
        <v>0</v>
      </c>
      <c r="Q361" s="4">
        <v>-14915</v>
      </c>
      <c r="R361" s="4">
        <v>0</v>
      </c>
      <c r="S361" s="4">
        <v>0</v>
      </c>
      <c r="T361" s="23">
        <v>3.95</v>
      </c>
      <c r="U361" s="23">
        <v>3.5910000000000002</v>
      </c>
      <c r="V361" s="5" t="s">
        <v>1982</v>
      </c>
      <c r="W361" s="4">
        <v>83938</v>
      </c>
      <c r="X361" s="4">
        <v>197500</v>
      </c>
      <c r="Y361" s="11">
        <v>43553</v>
      </c>
      <c r="Z361" s="11">
        <v>45866</v>
      </c>
      <c r="AA361" s="2"/>
      <c r="AB361" s="63" t="s">
        <v>3840</v>
      </c>
      <c r="AC361" s="5" t="s">
        <v>4198</v>
      </c>
      <c r="AD361" s="2"/>
      <c r="AE361" s="11">
        <v>45836</v>
      </c>
      <c r="AF361" s="23">
        <v>100</v>
      </c>
      <c r="AG361" s="11">
        <v>45836</v>
      </c>
      <c r="AH361" s="5" t="s">
        <v>3122</v>
      </c>
      <c r="AI361" s="5" t="s">
        <v>1202</v>
      </c>
      <c r="AJ361" s="5" t="s">
        <v>3</v>
      </c>
      <c r="AK361" s="16" t="s">
        <v>3</v>
      </c>
      <c r="AL361" s="65" t="s">
        <v>3842</v>
      </c>
      <c r="AM361" s="31" t="s">
        <v>559</v>
      </c>
    </row>
    <row r="362" spans="2:39" x14ac:dyDescent="0.25">
      <c r="B362" s="18" t="s">
        <v>3123</v>
      </c>
      <c r="C362" s="44" t="s">
        <v>1720</v>
      </c>
      <c r="D362" s="20" t="s">
        <v>3124</v>
      </c>
      <c r="E362" s="67" t="s">
        <v>3</v>
      </c>
      <c r="F362" s="51" t="s">
        <v>3</v>
      </c>
      <c r="G362" s="37" t="s">
        <v>2715</v>
      </c>
      <c r="H362" s="68" t="s">
        <v>2715</v>
      </c>
      <c r="I362" s="62" t="s">
        <v>1358</v>
      </c>
      <c r="J362" s="61" t="s">
        <v>250</v>
      </c>
      <c r="K362" s="4">
        <v>4996450</v>
      </c>
      <c r="L362" s="39">
        <v>106.93300000000001</v>
      </c>
      <c r="M362" s="4">
        <v>5346650</v>
      </c>
      <c r="N362" s="4">
        <v>5000000</v>
      </c>
      <c r="O362" s="4">
        <v>4996887</v>
      </c>
      <c r="P362" s="4">
        <v>0</v>
      </c>
      <c r="Q362" s="4">
        <v>437</v>
      </c>
      <c r="R362" s="4">
        <v>0</v>
      </c>
      <c r="S362" s="4">
        <v>0</v>
      </c>
      <c r="T362" s="23">
        <v>2.25</v>
      </c>
      <c r="U362" s="23">
        <v>2.2610000000000001</v>
      </c>
      <c r="V362" s="5" t="s">
        <v>248</v>
      </c>
      <c r="W362" s="4">
        <v>46875</v>
      </c>
      <c r="X362" s="4">
        <v>56563</v>
      </c>
      <c r="Y362" s="11">
        <v>43858</v>
      </c>
      <c r="Z362" s="11">
        <v>46419</v>
      </c>
      <c r="AA362" s="2"/>
      <c r="AB362" s="63" t="s">
        <v>3840</v>
      </c>
      <c r="AC362" s="5" t="s">
        <v>4198</v>
      </c>
      <c r="AD362" s="2"/>
      <c r="AE362" s="11">
        <v>46388</v>
      </c>
      <c r="AF362" s="23">
        <v>100</v>
      </c>
      <c r="AG362" s="9"/>
      <c r="AH362" s="5" t="s">
        <v>3122</v>
      </c>
      <c r="AI362" s="5" t="s">
        <v>3124</v>
      </c>
      <c r="AJ362" s="5" t="s">
        <v>3</v>
      </c>
      <c r="AK362" s="16" t="s">
        <v>3</v>
      </c>
      <c r="AL362" s="65" t="s">
        <v>3842</v>
      </c>
      <c r="AM362" s="31" t="s">
        <v>559</v>
      </c>
    </row>
    <row r="363" spans="2:39" x14ac:dyDescent="0.25">
      <c r="B363" s="18" t="s">
        <v>4261</v>
      </c>
      <c r="C363" s="44" t="s">
        <v>3125</v>
      </c>
      <c r="D363" s="20" t="s">
        <v>70</v>
      </c>
      <c r="E363" s="67" t="s">
        <v>3</v>
      </c>
      <c r="F363" s="51" t="s">
        <v>3</v>
      </c>
      <c r="G363" s="37" t="s">
        <v>2715</v>
      </c>
      <c r="H363" s="68" t="s">
        <v>929</v>
      </c>
      <c r="I363" s="62" t="s">
        <v>10</v>
      </c>
      <c r="J363" s="61" t="s">
        <v>250</v>
      </c>
      <c r="K363" s="4">
        <v>2000000</v>
      </c>
      <c r="L363" s="39">
        <v>103.188</v>
      </c>
      <c r="M363" s="4">
        <v>2063760</v>
      </c>
      <c r="N363" s="4">
        <v>2000000</v>
      </c>
      <c r="O363" s="4">
        <v>2000000</v>
      </c>
      <c r="P363" s="4">
        <v>0</v>
      </c>
      <c r="Q363" s="4">
        <v>0</v>
      </c>
      <c r="R363" s="4">
        <v>0</v>
      </c>
      <c r="S363" s="4">
        <v>0</v>
      </c>
      <c r="T363" s="23">
        <v>4.625</v>
      </c>
      <c r="U363" s="23">
        <v>4.625</v>
      </c>
      <c r="V363" s="5" t="s">
        <v>12</v>
      </c>
      <c r="W363" s="4">
        <v>32118</v>
      </c>
      <c r="X363" s="4">
        <v>0</v>
      </c>
      <c r="Y363" s="11">
        <v>44055</v>
      </c>
      <c r="Z363" s="11">
        <v>46997</v>
      </c>
      <c r="AA363" s="2"/>
      <c r="AB363" s="63" t="s">
        <v>3840</v>
      </c>
      <c r="AC363" s="5" t="s">
        <v>4198</v>
      </c>
      <c r="AD363" s="2"/>
      <c r="AE363" s="11">
        <v>45170</v>
      </c>
      <c r="AF363" s="23">
        <v>102.313</v>
      </c>
      <c r="AG363" s="6"/>
      <c r="AH363" s="5" t="s">
        <v>1721</v>
      </c>
      <c r="AI363" s="5" t="s">
        <v>2497</v>
      </c>
      <c r="AJ363" s="5" t="s">
        <v>928</v>
      </c>
      <c r="AK363" s="16" t="s">
        <v>3</v>
      </c>
      <c r="AL363" s="65" t="s">
        <v>3842</v>
      </c>
      <c r="AM363" s="31" t="s">
        <v>586</v>
      </c>
    </row>
    <row r="364" spans="2:39" x14ac:dyDescent="0.25">
      <c r="B364" s="18" t="s">
        <v>1722</v>
      </c>
      <c r="C364" s="44" t="s">
        <v>3126</v>
      </c>
      <c r="D364" s="20" t="s">
        <v>321</v>
      </c>
      <c r="E364" s="67" t="s">
        <v>3</v>
      </c>
      <c r="F364" s="51" t="s">
        <v>3</v>
      </c>
      <c r="G364" s="37" t="s">
        <v>2715</v>
      </c>
      <c r="H364" s="68" t="s">
        <v>3842</v>
      </c>
      <c r="I364" s="62" t="s">
        <v>10</v>
      </c>
      <c r="J364" s="61" t="s">
        <v>250</v>
      </c>
      <c r="K364" s="4">
        <v>4952600</v>
      </c>
      <c r="L364" s="39">
        <v>112.84399999999999</v>
      </c>
      <c r="M364" s="4">
        <v>5642200</v>
      </c>
      <c r="N364" s="4">
        <v>5000000</v>
      </c>
      <c r="O364" s="4">
        <v>4966318</v>
      </c>
      <c r="P364" s="4">
        <v>0</v>
      </c>
      <c r="Q364" s="4">
        <v>6840</v>
      </c>
      <c r="R364" s="4">
        <v>0</v>
      </c>
      <c r="S364" s="4">
        <v>0</v>
      </c>
      <c r="T364" s="23">
        <v>3.85</v>
      </c>
      <c r="U364" s="23">
        <v>4.0179999999999998</v>
      </c>
      <c r="V364" s="5" t="s">
        <v>3844</v>
      </c>
      <c r="W364" s="4">
        <v>16042</v>
      </c>
      <c r="X364" s="4">
        <v>192500</v>
      </c>
      <c r="Y364" s="11">
        <v>43451</v>
      </c>
      <c r="Z364" s="11">
        <v>45809</v>
      </c>
      <c r="AA364" s="2"/>
      <c r="AB364" s="63" t="s">
        <v>3840</v>
      </c>
      <c r="AC364" s="5" t="s">
        <v>4198</v>
      </c>
      <c r="AD364" s="2"/>
      <c r="AE364" s="10">
        <v>45717</v>
      </c>
      <c r="AF364" s="23">
        <v>100</v>
      </c>
      <c r="AG364" s="6"/>
      <c r="AH364" s="5" t="s">
        <v>3127</v>
      </c>
      <c r="AI364" s="5" t="s">
        <v>321</v>
      </c>
      <c r="AJ364" s="5" t="s">
        <v>3</v>
      </c>
      <c r="AK364" s="16" t="s">
        <v>3</v>
      </c>
      <c r="AL364" s="65" t="s">
        <v>3842</v>
      </c>
      <c r="AM364" s="31" t="s">
        <v>1176</v>
      </c>
    </row>
    <row r="365" spans="2:39" x14ac:dyDescent="0.25">
      <c r="B365" s="18" t="s">
        <v>2797</v>
      </c>
      <c r="C365" s="44" t="s">
        <v>3128</v>
      </c>
      <c r="D365" s="20" t="s">
        <v>321</v>
      </c>
      <c r="E365" s="67" t="s">
        <v>3</v>
      </c>
      <c r="F365" s="51" t="s">
        <v>3</v>
      </c>
      <c r="G365" s="37" t="s">
        <v>2715</v>
      </c>
      <c r="H365" s="68" t="s">
        <v>3842</v>
      </c>
      <c r="I365" s="62" t="s">
        <v>10</v>
      </c>
      <c r="J365" s="61" t="s">
        <v>250</v>
      </c>
      <c r="K365" s="4">
        <v>4997700</v>
      </c>
      <c r="L365" s="39">
        <v>109.01900000000001</v>
      </c>
      <c r="M365" s="4">
        <v>5450950</v>
      </c>
      <c r="N365" s="4">
        <v>5000000</v>
      </c>
      <c r="O365" s="4">
        <v>4998703</v>
      </c>
      <c r="P365" s="4">
        <v>0</v>
      </c>
      <c r="Q365" s="4">
        <v>439</v>
      </c>
      <c r="R365" s="4">
        <v>0</v>
      </c>
      <c r="S365" s="4">
        <v>0</v>
      </c>
      <c r="T365" s="23">
        <v>3.8</v>
      </c>
      <c r="U365" s="23">
        <v>3.81</v>
      </c>
      <c r="V365" s="5" t="s">
        <v>3843</v>
      </c>
      <c r="W365" s="4">
        <v>47500</v>
      </c>
      <c r="X365" s="4">
        <v>190000</v>
      </c>
      <c r="Y365" s="11">
        <v>43363</v>
      </c>
      <c r="Z365" s="11">
        <v>45200</v>
      </c>
      <c r="AA365" s="2"/>
      <c r="AB365" s="63" t="s">
        <v>3840</v>
      </c>
      <c r="AC365" s="5" t="s">
        <v>4198</v>
      </c>
      <c r="AD365" s="2"/>
      <c r="AE365" s="11">
        <v>45170</v>
      </c>
      <c r="AF365" s="23">
        <v>100</v>
      </c>
      <c r="AG365" s="6"/>
      <c r="AH365" s="5" t="s">
        <v>3127</v>
      </c>
      <c r="AI365" s="5" t="s">
        <v>321</v>
      </c>
      <c r="AJ365" s="5" t="s">
        <v>3</v>
      </c>
      <c r="AK365" s="16" t="s">
        <v>3</v>
      </c>
      <c r="AL365" s="65" t="s">
        <v>3842</v>
      </c>
      <c r="AM365" s="31" t="s">
        <v>1176</v>
      </c>
    </row>
    <row r="366" spans="2:39" x14ac:dyDescent="0.25">
      <c r="B366" s="18" t="s">
        <v>3914</v>
      </c>
      <c r="C366" s="44" t="s">
        <v>1203</v>
      </c>
      <c r="D366" s="20" t="s">
        <v>321</v>
      </c>
      <c r="E366" s="67" t="s">
        <v>3</v>
      </c>
      <c r="F366" s="51" t="s">
        <v>3</v>
      </c>
      <c r="G366" s="37" t="s">
        <v>2715</v>
      </c>
      <c r="H366" s="68" t="s">
        <v>3842</v>
      </c>
      <c r="I366" s="62" t="s">
        <v>10</v>
      </c>
      <c r="J366" s="61" t="s">
        <v>250</v>
      </c>
      <c r="K366" s="4">
        <v>3499755</v>
      </c>
      <c r="L366" s="39">
        <v>111.96299999999999</v>
      </c>
      <c r="M366" s="4">
        <v>3918705</v>
      </c>
      <c r="N366" s="4">
        <v>3500000</v>
      </c>
      <c r="O366" s="4">
        <v>3499818</v>
      </c>
      <c r="P366" s="4">
        <v>0</v>
      </c>
      <c r="Q366" s="4">
        <v>30</v>
      </c>
      <c r="R366" s="4">
        <v>0</v>
      </c>
      <c r="S366" s="4">
        <v>0</v>
      </c>
      <c r="T366" s="23">
        <v>3.2</v>
      </c>
      <c r="U366" s="23">
        <v>3.2010000000000001</v>
      </c>
      <c r="V366" s="5" t="s">
        <v>1982</v>
      </c>
      <c r="W366" s="4">
        <v>56000</v>
      </c>
      <c r="X366" s="4">
        <v>114178</v>
      </c>
      <c r="Y366" s="11">
        <v>43626</v>
      </c>
      <c r="Z366" s="11">
        <v>46204</v>
      </c>
      <c r="AA366" s="2"/>
      <c r="AB366" s="63" t="s">
        <v>3840</v>
      </c>
      <c r="AC366" s="5" t="s">
        <v>4198</v>
      </c>
      <c r="AD366" s="2"/>
      <c r="AE366" s="10">
        <v>46143</v>
      </c>
      <c r="AF366" s="23">
        <v>100</v>
      </c>
      <c r="AG366" s="6"/>
      <c r="AH366" s="5" t="s">
        <v>3127</v>
      </c>
      <c r="AI366" s="5" t="s">
        <v>321</v>
      </c>
      <c r="AJ366" s="5" t="s">
        <v>3</v>
      </c>
      <c r="AK366" s="16" t="s">
        <v>3</v>
      </c>
      <c r="AL366" s="65" t="s">
        <v>3842</v>
      </c>
      <c r="AM366" s="31" t="s">
        <v>1176</v>
      </c>
    </row>
    <row r="367" spans="2:39" x14ac:dyDescent="0.25">
      <c r="B367" s="18" t="s">
        <v>969</v>
      </c>
      <c r="C367" s="44" t="s">
        <v>2798</v>
      </c>
      <c r="D367" s="20" t="s">
        <v>321</v>
      </c>
      <c r="E367" s="67" t="s">
        <v>3</v>
      </c>
      <c r="F367" s="51" t="s">
        <v>3</v>
      </c>
      <c r="G367" s="37" t="s">
        <v>2715</v>
      </c>
      <c r="H367" s="68" t="s">
        <v>3842</v>
      </c>
      <c r="I367" s="62" t="s">
        <v>10</v>
      </c>
      <c r="J367" s="61" t="s">
        <v>250</v>
      </c>
      <c r="K367" s="4">
        <v>3997360</v>
      </c>
      <c r="L367" s="39">
        <v>106.786</v>
      </c>
      <c r="M367" s="4">
        <v>4271440</v>
      </c>
      <c r="N367" s="4">
        <v>4000000</v>
      </c>
      <c r="O367" s="4">
        <v>3997606</v>
      </c>
      <c r="P367" s="4">
        <v>0</v>
      </c>
      <c r="Q367" s="4">
        <v>246</v>
      </c>
      <c r="R367" s="4">
        <v>0</v>
      </c>
      <c r="S367" s="4">
        <v>0</v>
      </c>
      <c r="T367" s="23">
        <v>2.25</v>
      </c>
      <c r="U367" s="23">
        <v>2.2599999999999998</v>
      </c>
      <c r="V367" s="5" t="s">
        <v>3844</v>
      </c>
      <c r="W367" s="4">
        <v>7500</v>
      </c>
      <c r="X367" s="4">
        <v>49500</v>
      </c>
      <c r="Y367" s="11">
        <v>43962</v>
      </c>
      <c r="Z367" s="11">
        <v>46539</v>
      </c>
      <c r="AA367" s="2"/>
      <c r="AB367" s="63" t="s">
        <v>3840</v>
      </c>
      <c r="AC367" s="5" t="s">
        <v>4198</v>
      </c>
      <c r="AD367" s="2"/>
      <c r="AE367" s="11">
        <v>46478</v>
      </c>
      <c r="AF367" s="23">
        <v>100</v>
      </c>
      <c r="AG367" s="9"/>
      <c r="AH367" s="5" t="s">
        <v>3127</v>
      </c>
      <c r="AI367" s="5" t="s">
        <v>321</v>
      </c>
      <c r="AJ367" s="5" t="s">
        <v>3</v>
      </c>
      <c r="AK367" s="16" t="s">
        <v>3</v>
      </c>
      <c r="AL367" s="65" t="s">
        <v>3842</v>
      </c>
      <c r="AM367" s="31" t="s">
        <v>1176</v>
      </c>
    </row>
    <row r="368" spans="2:39" x14ac:dyDescent="0.25">
      <c r="B368" s="18" t="s">
        <v>2045</v>
      </c>
      <c r="C368" s="44" t="s">
        <v>4262</v>
      </c>
      <c r="D368" s="20" t="s">
        <v>3363</v>
      </c>
      <c r="E368" s="67" t="s">
        <v>3</v>
      </c>
      <c r="F368" s="51" t="s">
        <v>3</v>
      </c>
      <c r="G368" s="37" t="s">
        <v>2715</v>
      </c>
      <c r="H368" s="68" t="s">
        <v>3842</v>
      </c>
      <c r="I368" s="62" t="s">
        <v>10</v>
      </c>
      <c r="J368" s="61" t="s">
        <v>250</v>
      </c>
      <c r="K368" s="4">
        <v>997730</v>
      </c>
      <c r="L368" s="39">
        <v>103.961</v>
      </c>
      <c r="M368" s="4">
        <v>1039610</v>
      </c>
      <c r="N368" s="4">
        <v>1000000</v>
      </c>
      <c r="O368" s="4">
        <v>999007</v>
      </c>
      <c r="P368" s="4">
        <v>0</v>
      </c>
      <c r="Q368" s="4">
        <v>614</v>
      </c>
      <c r="R368" s="4">
        <v>0</v>
      </c>
      <c r="S368" s="4">
        <v>0</v>
      </c>
      <c r="T368" s="23">
        <v>3.875</v>
      </c>
      <c r="U368" s="23">
        <v>3.9420000000000002</v>
      </c>
      <c r="V368" s="5" t="s">
        <v>1982</v>
      </c>
      <c r="W368" s="4">
        <v>17868</v>
      </c>
      <c r="X368" s="4">
        <v>38750</v>
      </c>
      <c r="Y368" s="11">
        <v>43438</v>
      </c>
      <c r="Z368" s="11">
        <v>44757</v>
      </c>
      <c r="AA368" s="2"/>
      <c r="AB368" s="63" t="s">
        <v>3840</v>
      </c>
      <c r="AC368" s="5" t="s">
        <v>4198</v>
      </c>
      <c r="AD368" s="2"/>
      <c r="AE368" s="11">
        <v>44666</v>
      </c>
      <c r="AF368" s="23">
        <v>100</v>
      </c>
      <c r="AG368" s="6"/>
      <c r="AH368" s="5" t="s">
        <v>3129</v>
      </c>
      <c r="AI368" s="5" t="s">
        <v>2799</v>
      </c>
      <c r="AJ368" s="5" t="s">
        <v>928</v>
      </c>
      <c r="AK368" s="16" t="s">
        <v>3</v>
      </c>
      <c r="AL368" s="65" t="s">
        <v>3842</v>
      </c>
      <c r="AM368" s="31" t="s">
        <v>1176</v>
      </c>
    </row>
    <row r="369" spans="2:39" x14ac:dyDescent="0.25">
      <c r="B369" s="18" t="s">
        <v>3130</v>
      </c>
      <c r="C369" s="44" t="s">
        <v>4263</v>
      </c>
      <c r="D369" s="20" t="s">
        <v>3363</v>
      </c>
      <c r="E369" s="67" t="s">
        <v>3</v>
      </c>
      <c r="F369" s="51" t="s">
        <v>3</v>
      </c>
      <c r="G369" s="37" t="s">
        <v>2715</v>
      </c>
      <c r="H369" s="68" t="s">
        <v>3842</v>
      </c>
      <c r="I369" s="62" t="s">
        <v>10</v>
      </c>
      <c r="J369" s="61" t="s">
        <v>250</v>
      </c>
      <c r="K369" s="4">
        <v>5051270</v>
      </c>
      <c r="L369" s="39">
        <v>113.633</v>
      </c>
      <c r="M369" s="4">
        <v>5681650</v>
      </c>
      <c r="N369" s="4">
        <v>5000000</v>
      </c>
      <c r="O369" s="4">
        <v>5036216</v>
      </c>
      <c r="P369" s="4">
        <v>0</v>
      </c>
      <c r="Q369" s="4">
        <v>-7528</v>
      </c>
      <c r="R369" s="4">
        <v>0</v>
      </c>
      <c r="S369" s="4">
        <v>0</v>
      </c>
      <c r="T369" s="23">
        <v>4.3499999999999996</v>
      </c>
      <c r="U369" s="23">
        <v>4.165</v>
      </c>
      <c r="V369" s="5" t="s">
        <v>1982</v>
      </c>
      <c r="W369" s="4">
        <v>100292</v>
      </c>
      <c r="X369" s="4">
        <v>217500</v>
      </c>
      <c r="Y369" s="11">
        <v>43438</v>
      </c>
      <c r="Z369" s="11">
        <v>45853</v>
      </c>
      <c r="AA369" s="2"/>
      <c r="AB369" s="63" t="s">
        <v>3840</v>
      </c>
      <c r="AC369" s="5" t="s">
        <v>4198</v>
      </c>
      <c r="AD369" s="2"/>
      <c r="AE369" s="11">
        <v>45762</v>
      </c>
      <c r="AF369" s="23">
        <v>100</v>
      </c>
      <c r="AG369" s="10">
        <v>45762</v>
      </c>
      <c r="AH369" s="5" t="s">
        <v>3129</v>
      </c>
      <c r="AI369" s="5" t="s">
        <v>2799</v>
      </c>
      <c r="AJ369" s="5" t="s">
        <v>928</v>
      </c>
      <c r="AK369" s="16" t="s">
        <v>3</v>
      </c>
      <c r="AL369" s="65" t="s">
        <v>3842</v>
      </c>
      <c r="AM369" s="31" t="s">
        <v>1176</v>
      </c>
    </row>
    <row r="370" spans="2:39" x14ac:dyDescent="0.25">
      <c r="B370" s="18" t="s">
        <v>4264</v>
      </c>
      <c r="C370" s="44" t="s">
        <v>2800</v>
      </c>
      <c r="D370" s="20" t="s">
        <v>322</v>
      </c>
      <c r="E370" s="67" t="s">
        <v>3</v>
      </c>
      <c r="F370" s="51" t="s">
        <v>3</v>
      </c>
      <c r="G370" s="37" t="s">
        <v>2715</v>
      </c>
      <c r="H370" s="68" t="s">
        <v>3842</v>
      </c>
      <c r="I370" s="62" t="s">
        <v>10</v>
      </c>
      <c r="J370" s="61" t="s">
        <v>250</v>
      </c>
      <c r="K370" s="4">
        <v>5351440</v>
      </c>
      <c r="L370" s="39">
        <v>103.51900000000001</v>
      </c>
      <c r="M370" s="4">
        <v>5175950</v>
      </c>
      <c r="N370" s="4">
        <v>5000000</v>
      </c>
      <c r="O370" s="4">
        <v>5077565</v>
      </c>
      <c r="P370" s="4">
        <v>0</v>
      </c>
      <c r="Q370" s="4">
        <v>-75325</v>
      </c>
      <c r="R370" s="4">
        <v>0</v>
      </c>
      <c r="S370" s="4">
        <v>0</v>
      </c>
      <c r="T370" s="23">
        <v>4.375</v>
      </c>
      <c r="U370" s="23">
        <v>2.794</v>
      </c>
      <c r="V370" s="5" t="s">
        <v>3843</v>
      </c>
      <c r="W370" s="4">
        <v>54688</v>
      </c>
      <c r="X370" s="4">
        <v>218750</v>
      </c>
      <c r="Y370" s="11">
        <v>43553</v>
      </c>
      <c r="Z370" s="11">
        <v>44652</v>
      </c>
      <c r="AA370" s="2"/>
      <c r="AB370" s="63" t="s">
        <v>3840</v>
      </c>
      <c r="AC370" s="5" t="s">
        <v>4198</v>
      </c>
      <c r="AD370" s="2"/>
      <c r="AE370" s="11">
        <v>44562</v>
      </c>
      <c r="AF370" s="23">
        <v>100</v>
      </c>
      <c r="AG370" s="10">
        <v>44562</v>
      </c>
      <c r="AH370" s="5" t="s">
        <v>71</v>
      </c>
      <c r="AI370" s="5" t="s">
        <v>2801</v>
      </c>
      <c r="AJ370" s="5" t="s">
        <v>2801</v>
      </c>
      <c r="AK370" s="16" t="s">
        <v>3</v>
      </c>
      <c r="AL370" s="65" t="s">
        <v>3842</v>
      </c>
      <c r="AM370" s="31" t="s">
        <v>1176</v>
      </c>
    </row>
    <row r="371" spans="2:39" x14ac:dyDescent="0.25">
      <c r="B371" s="18" t="s">
        <v>970</v>
      </c>
      <c r="C371" s="44" t="s">
        <v>3602</v>
      </c>
      <c r="D371" s="20" t="s">
        <v>2268</v>
      </c>
      <c r="E371" s="67" t="s">
        <v>3</v>
      </c>
      <c r="F371" s="51" t="s">
        <v>3</v>
      </c>
      <c r="G371" s="37" t="s">
        <v>3</v>
      </c>
      <c r="H371" s="68" t="s">
        <v>2715</v>
      </c>
      <c r="I371" s="62" t="s">
        <v>252</v>
      </c>
      <c r="J371" s="61" t="s">
        <v>250</v>
      </c>
      <c r="K371" s="4">
        <v>5000000</v>
      </c>
      <c r="L371" s="39">
        <v>110</v>
      </c>
      <c r="M371" s="4">
        <v>5500000</v>
      </c>
      <c r="N371" s="4">
        <v>5000000</v>
      </c>
      <c r="O371" s="4">
        <v>5000000</v>
      </c>
      <c r="P371" s="4">
        <v>0</v>
      </c>
      <c r="Q371" s="4">
        <v>0</v>
      </c>
      <c r="R371" s="4">
        <v>0</v>
      </c>
      <c r="S371" s="4">
        <v>0</v>
      </c>
      <c r="T371" s="23">
        <v>3.87</v>
      </c>
      <c r="U371" s="23">
        <v>3.8330000000000002</v>
      </c>
      <c r="V371" s="5" t="s">
        <v>2269</v>
      </c>
      <c r="W371" s="4">
        <v>46225</v>
      </c>
      <c r="X371" s="4">
        <v>195650</v>
      </c>
      <c r="Y371" s="11">
        <v>43327</v>
      </c>
      <c r="Z371" s="11">
        <v>45935</v>
      </c>
      <c r="AA371" s="2"/>
      <c r="AB371" s="63" t="s">
        <v>2748</v>
      </c>
      <c r="AC371" s="5" t="s">
        <v>3</v>
      </c>
      <c r="AD371" s="2"/>
      <c r="AE371" s="6"/>
      <c r="AF371" s="23"/>
      <c r="AG371" s="6"/>
      <c r="AH371" s="5" t="s">
        <v>3</v>
      </c>
      <c r="AI371" s="5" t="s">
        <v>616</v>
      </c>
      <c r="AJ371" s="5" t="s">
        <v>616</v>
      </c>
      <c r="AK371" s="16" t="s">
        <v>3</v>
      </c>
      <c r="AL371" s="65" t="s">
        <v>2715</v>
      </c>
      <c r="AM371" s="31" t="s">
        <v>898</v>
      </c>
    </row>
    <row r="372" spans="2:39" x14ac:dyDescent="0.25">
      <c r="B372" s="18" t="s">
        <v>2046</v>
      </c>
      <c r="C372" s="44" t="s">
        <v>2802</v>
      </c>
      <c r="D372" s="20" t="s">
        <v>3364</v>
      </c>
      <c r="E372" s="67" t="s">
        <v>3</v>
      </c>
      <c r="F372" s="51" t="s">
        <v>3</v>
      </c>
      <c r="G372" s="37" t="s">
        <v>3</v>
      </c>
      <c r="H372" s="68" t="s">
        <v>2715</v>
      </c>
      <c r="I372" s="62" t="s">
        <v>252</v>
      </c>
      <c r="J372" s="61" t="s">
        <v>250</v>
      </c>
      <c r="K372" s="4">
        <v>15044520</v>
      </c>
      <c r="L372" s="39">
        <v>109.872</v>
      </c>
      <c r="M372" s="4">
        <v>16480800</v>
      </c>
      <c r="N372" s="4">
        <v>15000000</v>
      </c>
      <c r="O372" s="4">
        <v>15043846</v>
      </c>
      <c r="P372" s="4">
        <v>0</v>
      </c>
      <c r="Q372" s="4">
        <v>-674</v>
      </c>
      <c r="R372" s="4">
        <v>0</v>
      </c>
      <c r="S372" s="4">
        <v>0</v>
      </c>
      <c r="T372" s="23">
        <v>2.97</v>
      </c>
      <c r="U372" s="23">
        <v>2.9159999999999999</v>
      </c>
      <c r="V372" s="5" t="s">
        <v>2269</v>
      </c>
      <c r="W372" s="4">
        <v>106425</v>
      </c>
      <c r="X372" s="4">
        <v>41745</v>
      </c>
      <c r="Y372" s="11">
        <v>44145</v>
      </c>
      <c r="Z372" s="11">
        <v>46665</v>
      </c>
      <c r="AA372" s="2"/>
      <c r="AB372" s="63" t="s">
        <v>2748</v>
      </c>
      <c r="AC372" s="5" t="s">
        <v>3</v>
      </c>
      <c r="AD372" s="2"/>
      <c r="AE372" s="9"/>
      <c r="AF372" s="23"/>
      <c r="AG372" s="6"/>
      <c r="AH372" s="5" t="s">
        <v>3</v>
      </c>
      <c r="AI372" s="5" t="s">
        <v>971</v>
      </c>
      <c r="AJ372" s="5" t="s">
        <v>971</v>
      </c>
      <c r="AK372" s="16" t="s">
        <v>3</v>
      </c>
      <c r="AL372" s="65" t="s">
        <v>2715</v>
      </c>
      <c r="AM372" s="31" t="s">
        <v>898</v>
      </c>
    </row>
    <row r="373" spans="2:39" x14ac:dyDescent="0.25">
      <c r="B373" s="18" t="s">
        <v>3131</v>
      </c>
      <c r="C373" s="44" t="s">
        <v>3915</v>
      </c>
      <c r="D373" s="20" t="s">
        <v>3364</v>
      </c>
      <c r="E373" s="67" t="s">
        <v>3</v>
      </c>
      <c r="F373" s="51" t="s">
        <v>3</v>
      </c>
      <c r="G373" s="37" t="s">
        <v>3</v>
      </c>
      <c r="H373" s="68" t="s">
        <v>2715</v>
      </c>
      <c r="I373" s="62" t="s">
        <v>252</v>
      </c>
      <c r="J373" s="61" t="s">
        <v>250</v>
      </c>
      <c r="K373" s="4">
        <v>4000000</v>
      </c>
      <c r="L373" s="39">
        <v>109.872</v>
      </c>
      <c r="M373" s="4">
        <v>4394880</v>
      </c>
      <c r="N373" s="4">
        <v>4000000</v>
      </c>
      <c r="O373" s="4">
        <v>4000000</v>
      </c>
      <c r="P373" s="4">
        <v>0</v>
      </c>
      <c r="Q373" s="4">
        <v>0</v>
      </c>
      <c r="R373" s="4">
        <v>0</v>
      </c>
      <c r="S373" s="4">
        <v>0</v>
      </c>
      <c r="T373" s="23">
        <v>2.97</v>
      </c>
      <c r="U373" s="23">
        <v>2.97</v>
      </c>
      <c r="V373" s="5" t="s">
        <v>2269</v>
      </c>
      <c r="W373" s="4">
        <v>28380</v>
      </c>
      <c r="X373" s="4">
        <v>0</v>
      </c>
      <c r="Y373" s="11">
        <v>44106</v>
      </c>
      <c r="Z373" s="11">
        <v>46665</v>
      </c>
      <c r="AA373" s="2"/>
      <c r="AB373" s="63" t="s">
        <v>2748</v>
      </c>
      <c r="AC373" s="5" t="s">
        <v>3</v>
      </c>
      <c r="AD373" s="2"/>
      <c r="AE373" s="9"/>
      <c r="AF373" s="23"/>
      <c r="AG373" s="6"/>
      <c r="AH373" s="5" t="s">
        <v>3</v>
      </c>
      <c r="AI373" s="5" t="s">
        <v>971</v>
      </c>
      <c r="AJ373" s="5" t="s">
        <v>971</v>
      </c>
      <c r="AK373" s="16" t="s">
        <v>3</v>
      </c>
      <c r="AL373" s="65" t="s">
        <v>2715</v>
      </c>
      <c r="AM373" s="31" t="s">
        <v>898</v>
      </c>
    </row>
    <row r="374" spans="2:39" x14ac:dyDescent="0.25">
      <c r="B374" s="18" t="s">
        <v>323</v>
      </c>
      <c r="C374" s="44" t="s">
        <v>1394</v>
      </c>
      <c r="D374" s="20" t="s">
        <v>3916</v>
      </c>
      <c r="E374" s="67" t="s">
        <v>3</v>
      </c>
      <c r="F374" s="51" t="s">
        <v>3</v>
      </c>
      <c r="G374" s="37" t="s">
        <v>3</v>
      </c>
      <c r="H374" s="68" t="s">
        <v>2715</v>
      </c>
      <c r="I374" s="62" t="s">
        <v>252</v>
      </c>
      <c r="J374" s="61" t="s">
        <v>250</v>
      </c>
      <c r="K374" s="4">
        <v>4000000</v>
      </c>
      <c r="L374" s="39">
        <v>107.724</v>
      </c>
      <c r="M374" s="4">
        <v>4308960</v>
      </c>
      <c r="N374" s="4">
        <v>4000000</v>
      </c>
      <c r="O374" s="4">
        <v>4000000</v>
      </c>
      <c r="P374" s="4">
        <v>0</v>
      </c>
      <c r="Q374" s="4">
        <v>0</v>
      </c>
      <c r="R374" s="4">
        <v>0</v>
      </c>
      <c r="S374" s="4">
        <v>0</v>
      </c>
      <c r="T374" s="23">
        <v>3.07</v>
      </c>
      <c r="U374" s="23">
        <v>3.07</v>
      </c>
      <c r="V374" s="5" t="s">
        <v>2269</v>
      </c>
      <c r="W374" s="4">
        <v>30018</v>
      </c>
      <c r="X374" s="4">
        <v>124164</v>
      </c>
      <c r="Y374" s="11">
        <v>42976</v>
      </c>
      <c r="Z374" s="11">
        <v>45570</v>
      </c>
      <c r="AA374" s="2"/>
      <c r="AB374" s="63" t="s">
        <v>2748</v>
      </c>
      <c r="AC374" s="5" t="s">
        <v>3</v>
      </c>
      <c r="AD374" s="2"/>
      <c r="AE374" s="6"/>
      <c r="AF374" s="23"/>
      <c r="AG374" s="6"/>
      <c r="AH374" s="5" t="s">
        <v>3</v>
      </c>
      <c r="AI374" s="5" t="s">
        <v>1723</v>
      </c>
      <c r="AJ374" s="5" t="s">
        <v>1723</v>
      </c>
      <c r="AK374" s="16" t="s">
        <v>3</v>
      </c>
      <c r="AL374" s="65" t="s">
        <v>2715</v>
      </c>
      <c r="AM374" s="31" t="s">
        <v>898</v>
      </c>
    </row>
    <row r="375" spans="2:39" x14ac:dyDescent="0.25">
      <c r="B375" s="18" t="s">
        <v>1395</v>
      </c>
      <c r="C375" s="44" t="s">
        <v>2498</v>
      </c>
      <c r="D375" s="20" t="s">
        <v>972</v>
      </c>
      <c r="E375" s="67" t="s">
        <v>3</v>
      </c>
      <c r="F375" s="51" t="s">
        <v>3</v>
      </c>
      <c r="G375" s="37" t="s">
        <v>2715</v>
      </c>
      <c r="H375" s="68" t="s">
        <v>929</v>
      </c>
      <c r="I375" s="62" t="s">
        <v>3310</v>
      </c>
      <c r="J375" s="61" t="s">
        <v>250</v>
      </c>
      <c r="K375" s="4">
        <v>5000000</v>
      </c>
      <c r="L375" s="39">
        <v>105.46</v>
      </c>
      <c r="M375" s="4">
        <v>5273000</v>
      </c>
      <c r="N375" s="4">
        <v>5000000</v>
      </c>
      <c r="O375" s="4">
        <v>5000000</v>
      </c>
      <c r="P375" s="4">
        <v>0</v>
      </c>
      <c r="Q375" s="4">
        <v>0</v>
      </c>
      <c r="R375" s="4">
        <v>0</v>
      </c>
      <c r="S375" s="4">
        <v>0</v>
      </c>
      <c r="T375" s="23">
        <v>4.2709999999999999</v>
      </c>
      <c r="U375" s="23">
        <v>4.2709999999999999</v>
      </c>
      <c r="V375" s="5" t="s">
        <v>1982</v>
      </c>
      <c r="W375" s="4">
        <v>102029</v>
      </c>
      <c r="X375" s="4">
        <v>106775</v>
      </c>
      <c r="Y375" s="11">
        <v>43836</v>
      </c>
      <c r="Z375" s="11">
        <v>46396</v>
      </c>
      <c r="AA375" s="2"/>
      <c r="AB375" s="63" t="s">
        <v>3840</v>
      </c>
      <c r="AC375" s="5" t="s">
        <v>4198</v>
      </c>
      <c r="AD375" s="2"/>
      <c r="AE375" s="11">
        <v>46335</v>
      </c>
      <c r="AF375" s="23">
        <v>100</v>
      </c>
      <c r="AG375" s="9"/>
      <c r="AH375" s="5" t="s">
        <v>3132</v>
      </c>
      <c r="AI375" s="5" t="s">
        <v>972</v>
      </c>
      <c r="AJ375" s="5" t="s">
        <v>3</v>
      </c>
      <c r="AK375" s="16" t="s">
        <v>3</v>
      </c>
      <c r="AL375" s="65" t="s">
        <v>3842</v>
      </c>
      <c r="AM375" s="31" t="s">
        <v>933</v>
      </c>
    </row>
    <row r="376" spans="2:39" x14ac:dyDescent="0.25">
      <c r="B376" s="18" t="s">
        <v>2499</v>
      </c>
      <c r="C376" s="44" t="s">
        <v>617</v>
      </c>
      <c r="D376" s="20" t="s">
        <v>1724</v>
      </c>
      <c r="E376" s="67" t="s">
        <v>3</v>
      </c>
      <c r="F376" s="51" t="s">
        <v>3</v>
      </c>
      <c r="G376" s="37" t="s">
        <v>2715</v>
      </c>
      <c r="H376" s="68" t="s">
        <v>3842</v>
      </c>
      <c r="I376" s="62" t="s">
        <v>10</v>
      </c>
      <c r="J376" s="61" t="s">
        <v>250</v>
      </c>
      <c r="K376" s="4">
        <v>4988800</v>
      </c>
      <c r="L376" s="39">
        <v>110.97199999999999</v>
      </c>
      <c r="M376" s="4">
        <v>5548600</v>
      </c>
      <c r="N376" s="4">
        <v>5000000</v>
      </c>
      <c r="O376" s="4">
        <v>4991036</v>
      </c>
      <c r="P376" s="4">
        <v>0</v>
      </c>
      <c r="Q376" s="4">
        <v>1482</v>
      </c>
      <c r="R376" s="4">
        <v>0</v>
      </c>
      <c r="S376" s="4">
        <v>0</v>
      </c>
      <c r="T376" s="23">
        <v>3.15</v>
      </c>
      <c r="U376" s="23">
        <v>3.1859999999999999</v>
      </c>
      <c r="V376" s="5" t="s">
        <v>3844</v>
      </c>
      <c r="W376" s="4">
        <v>7000</v>
      </c>
      <c r="X376" s="4">
        <v>157500</v>
      </c>
      <c r="Y376" s="11">
        <v>43657</v>
      </c>
      <c r="Z376" s="11">
        <v>46188</v>
      </c>
      <c r="AA376" s="2"/>
      <c r="AB376" s="63" t="s">
        <v>3840</v>
      </c>
      <c r="AC376" s="5" t="s">
        <v>4198</v>
      </c>
      <c r="AD376" s="2"/>
      <c r="AE376" s="11">
        <v>46096</v>
      </c>
      <c r="AF376" s="23">
        <v>100</v>
      </c>
      <c r="AG376" s="9"/>
      <c r="AH376" s="5" t="s">
        <v>1204</v>
      </c>
      <c r="AI376" s="5" t="s">
        <v>1724</v>
      </c>
      <c r="AJ376" s="5" t="s">
        <v>3</v>
      </c>
      <c r="AK376" s="16" t="s">
        <v>3</v>
      </c>
      <c r="AL376" s="65" t="s">
        <v>3842</v>
      </c>
      <c r="AM376" s="31" t="s">
        <v>1176</v>
      </c>
    </row>
    <row r="377" spans="2:39" x14ac:dyDescent="0.25">
      <c r="B377" s="18" t="s">
        <v>3603</v>
      </c>
      <c r="C377" s="44" t="s">
        <v>2803</v>
      </c>
      <c r="D377" s="20" t="s">
        <v>72</v>
      </c>
      <c r="E377" s="67" t="s">
        <v>3</v>
      </c>
      <c r="F377" s="51" t="s">
        <v>3</v>
      </c>
      <c r="G377" s="37" t="s">
        <v>2715</v>
      </c>
      <c r="H377" s="68" t="s">
        <v>3842</v>
      </c>
      <c r="I377" s="62" t="s">
        <v>10</v>
      </c>
      <c r="J377" s="61" t="s">
        <v>250</v>
      </c>
      <c r="K377" s="4">
        <v>5000000</v>
      </c>
      <c r="L377" s="39">
        <v>110.07599999999999</v>
      </c>
      <c r="M377" s="4">
        <v>5503800</v>
      </c>
      <c r="N377" s="4">
        <v>5000000</v>
      </c>
      <c r="O377" s="4">
        <v>5000000</v>
      </c>
      <c r="P377" s="4">
        <v>0</v>
      </c>
      <c r="Q377" s="4">
        <v>0</v>
      </c>
      <c r="R377" s="4">
        <v>0</v>
      </c>
      <c r="S377" s="4">
        <v>0</v>
      </c>
      <c r="T377" s="23">
        <v>4.03</v>
      </c>
      <c r="U377" s="23">
        <v>4.0259999999999998</v>
      </c>
      <c r="V377" s="5" t="s">
        <v>1982</v>
      </c>
      <c r="W377" s="4">
        <v>87317</v>
      </c>
      <c r="X377" s="4">
        <v>100750</v>
      </c>
      <c r="Y377" s="11">
        <v>43924</v>
      </c>
      <c r="Z377" s="11">
        <v>45316</v>
      </c>
      <c r="AA377" s="2"/>
      <c r="AB377" s="63" t="s">
        <v>3840</v>
      </c>
      <c r="AC377" s="5" t="s">
        <v>4198</v>
      </c>
      <c r="AD377" s="2"/>
      <c r="AE377" s="11">
        <v>45285</v>
      </c>
      <c r="AF377" s="23">
        <v>100</v>
      </c>
      <c r="AG377" s="9"/>
      <c r="AH377" s="5" t="s">
        <v>3</v>
      </c>
      <c r="AI377" s="5" t="s">
        <v>72</v>
      </c>
      <c r="AJ377" s="5" t="s">
        <v>3</v>
      </c>
      <c r="AK377" s="16" t="s">
        <v>3</v>
      </c>
      <c r="AL377" s="65" t="s">
        <v>3842</v>
      </c>
      <c r="AM377" s="31" t="s">
        <v>1176</v>
      </c>
    </row>
    <row r="378" spans="2:39" x14ac:dyDescent="0.25">
      <c r="B378" s="18" t="s">
        <v>324</v>
      </c>
      <c r="C378" s="44" t="s">
        <v>1396</v>
      </c>
      <c r="D378" s="20" t="s">
        <v>1397</v>
      </c>
      <c r="E378" s="67" t="s">
        <v>3</v>
      </c>
      <c r="F378" s="51" t="s">
        <v>3</v>
      </c>
      <c r="G378" s="37" t="s">
        <v>3</v>
      </c>
      <c r="H378" s="68" t="s">
        <v>3842</v>
      </c>
      <c r="I378" s="62" t="s">
        <v>10</v>
      </c>
      <c r="J378" s="61" t="s">
        <v>2244</v>
      </c>
      <c r="K378" s="4">
        <v>2000000</v>
      </c>
      <c r="L378" s="39">
        <v>110</v>
      </c>
      <c r="M378" s="4">
        <v>2200000</v>
      </c>
      <c r="N378" s="4">
        <v>2000000</v>
      </c>
      <c r="O378" s="4">
        <v>2000000</v>
      </c>
      <c r="P378" s="4">
        <v>0</v>
      </c>
      <c r="Q378" s="4">
        <v>0</v>
      </c>
      <c r="R378" s="4">
        <v>0</v>
      </c>
      <c r="S378" s="4">
        <v>0</v>
      </c>
      <c r="T378" s="23">
        <v>4.1500000000000004</v>
      </c>
      <c r="U378" s="23">
        <v>4.1500000000000004</v>
      </c>
      <c r="V378" s="5" t="s">
        <v>325</v>
      </c>
      <c r="W378" s="4">
        <v>231</v>
      </c>
      <c r="X378" s="4">
        <v>25592</v>
      </c>
      <c r="Y378" s="11">
        <v>44083</v>
      </c>
      <c r="Z378" s="11">
        <v>47664</v>
      </c>
      <c r="AA378" s="2"/>
      <c r="AB378" s="63" t="s">
        <v>2748</v>
      </c>
      <c r="AC378" s="5" t="s">
        <v>3</v>
      </c>
      <c r="AD378" s="2"/>
      <c r="AE378" s="9"/>
      <c r="AF378" s="23"/>
      <c r="AG378" s="6"/>
      <c r="AH378" s="5" t="s">
        <v>3</v>
      </c>
      <c r="AI378" s="5" t="s">
        <v>1397</v>
      </c>
      <c r="AJ378" s="5" t="s">
        <v>3</v>
      </c>
      <c r="AK378" s="16" t="s">
        <v>3</v>
      </c>
      <c r="AL378" s="65" t="s">
        <v>3842</v>
      </c>
      <c r="AM378" s="31" t="s">
        <v>3100</v>
      </c>
    </row>
    <row r="379" spans="2:39" x14ac:dyDescent="0.25">
      <c r="B379" s="18" t="s">
        <v>1398</v>
      </c>
      <c r="C379" s="44" t="s">
        <v>618</v>
      </c>
      <c r="D379" s="20" t="s">
        <v>1725</v>
      </c>
      <c r="E379" s="67" t="s">
        <v>3</v>
      </c>
      <c r="F379" s="51" t="s">
        <v>3</v>
      </c>
      <c r="G379" s="37" t="s">
        <v>2715</v>
      </c>
      <c r="H379" s="68" t="s">
        <v>2715</v>
      </c>
      <c r="I379" s="62" t="s">
        <v>252</v>
      </c>
      <c r="J379" s="61" t="s">
        <v>250</v>
      </c>
      <c r="K379" s="4">
        <v>3603141</v>
      </c>
      <c r="L379" s="39">
        <v>101.005</v>
      </c>
      <c r="M379" s="4">
        <v>3398818</v>
      </c>
      <c r="N379" s="4">
        <v>3365000</v>
      </c>
      <c r="O379" s="4">
        <v>3376132</v>
      </c>
      <c r="P379" s="4">
        <v>0</v>
      </c>
      <c r="Q379" s="4">
        <v>-37525</v>
      </c>
      <c r="R379" s="4">
        <v>0</v>
      </c>
      <c r="S379" s="4">
        <v>0</v>
      </c>
      <c r="T379" s="23">
        <v>3.875</v>
      </c>
      <c r="U379" s="23">
        <v>2.7280000000000002</v>
      </c>
      <c r="V379" s="5" t="s">
        <v>1982</v>
      </c>
      <c r="W379" s="4">
        <v>60126</v>
      </c>
      <c r="X379" s="4">
        <v>130394</v>
      </c>
      <c r="Y379" s="11">
        <v>41814</v>
      </c>
      <c r="Z379" s="11">
        <v>44392</v>
      </c>
      <c r="AA379" s="2"/>
      <c r="AB379" s="63" t="s">
        <v>3840</v>
      </c>
      <c r="AC379" s="5" t="s">
        <v>4198</v>
      </c>
      <c r="AD379" s="2"/>
      <c r="AE379" s="10">
        <v>44301</v>
      </c>
      <c r="AF379" s="23">
        <v>100</v>
      </c>
      <c r="AG379" s="10">
        <v>44301</v>
      </c>
      <c r="AH379" s="5" t="s">
        <v>73</v>
      </c>
      <c r="AI379" s="5" t="s">
        <v>1725</v>
      </c>
      <c r="AJ379" s="5" t="s">
        <v>3</v>
      </c>
      <c r="AK379" s="16" t="s">
        <v>3</v>
      </c>
      <c r="AL379" s="65" t="s">
        <v>2715</v>
      </c>
      <c r="AM379" s="31" t="s">
        <v>898</v>
      </c>
    </row>
    <row r="380" spans="2:39" x14ac:dyDescent="0.25">
      <c r="B380" s="18" t="s">
        <v>2500</v>
      </c>
      <c r="C380" s="44" t="s">
        <v>1726</v>
      </c>
      <c r="D380" s="20" t="s">
        <v>2804</v>
      </c>
      <c r="E380" s="67" t="s">
        <v>3</v>
      </c>
      <c r="F380" s="51" t="s">
        <v>3</v>
      </c>
      <c r="G380" s="37" t="s">
        <v>2715</v>
      </c>
      <c r="H380" s="68" t="s">
        <v>2715</v>
      </c>
      <c r="I380" s="62" t="s">
        <v>252</v>
      </c>
      <c r="J380" s="61" t="s">
        <v>250</v>
      </c>
      <c r="K380" s="4">
        <v>1937060</v>
      </c>
      <c r="L380" s="39">
        <v>103.749</v>
      </c>
      <c r="M380" s="4">
        <v>2074980</v>
      </c>
      <c r="N380" s="4">
        <v>2000000</v>
      </c>
      <c r="O380" s="4">
        <v>1961458</v>
      </c>
      <c r="P380" s="4">
        <v>0</v>
      </c>
      <c r="Q380" s="4">
        <v>14017</v>
      </c>
      <c r="R380" s="4">
        <v>0</v>
      </c>
      <c r="S380" s="4">
        <v>0</v>
      </c>
      <c r="T380" s="23">
        <v>1.875</v>
      </c>
      <c r="U380" s="23">
        <v>2.641</v>
      </c>
      <c r="V380" s="5" t="s">
        <v>248</v>
      </c>
      <c r="W380" s="4">
        <v>14167</v>
      </c>
      <c r="X380" s="4">
        <v>37500</v>
      </c>
      <c r="Y380" s="11">
        <v>43553</v>
      </c>
      <c r="Z380" s="11">
        <v>45153</v>
      </c>
      <c r="AA380" s="2"/>
      <c r="AB380" s="63" t="s">
        <v>3840</v>
      </c>
      <c r="AC380" s="5" t="s">
        <v>4198</v>
      </c>
      <c r="AD380" s="2"/>
      <c r="AE380" s="11">
        <v>45092</v>
      </c>
      <c r="AF380" s="23">
        <v>100</v>
      </c>
      <c r="AG380" s="9"/>
      <c r="AH380" s="5" t="s">
        <v>73</v>
      </c>
      <c r="AI380" s="5" t="s">
        <v>1725</v>
      </c>
      <c r="AJ380" s="5" t="s">
        <v>2501</v>
      </c>
      <c r="AK380" s="16" t="s">
        <v>3</v>
      </c>
      <c r="AL380" s="65" t="s">
        <v>3842</v>
      </c>
      <c r="AM380" s="31" t="s">
        <v>898</v>
      </c>
    </row>
    <row r="381" spans="2:39" x14ac:dyDescent="0.25">
      <c r="B381" s="18" t="s">
        <v>3917</v>
      </c>
      <c r="C381" s="44" t="s">
        <v>3365</v>
      </c>
      <c r="D381" s="20" t="s">
        <v>2804</v>
      </c>
      <c r="E381" s="67" t="s">
        <v>3</v>
      </c>
      <c r="F381" s="51" t="s">
        <v>3</v>
      </c>
      <c r="G381" s="37" t="s">
        <v>2715</v>
      </c>
      <c r="H381" s="68" t="s">
        <v>2715</v>
      </c>
      <c r="I381" s="62" t="s">
        <v>252</v>
      </c>
      <c r="J381" s="61" t="s">
        <v>250</v>
      </c>
      <c r="K381" s="4">
        <v>11425655</v>
      </c>
      <c r="L381" s="39">
        <v>111.94799999999999</v>
      </c>
      <c r="M381" s="4">
        <v>12874020</v>
      </c>
      <c r="N381" s="4">
        <v>11500000</v>
      </c>
      <c r="O381" s="4">
        <v>11451304</v>
      </c>
      <c r="P381" s="4">
        <v>0</v>
      </c>
      <c r="Q381" s="4">
        <v>9860</v>
      </c>
      <c r="R381" s="4">
        <v>0</v>
      </c>
      <c r="S381" s="4">
        <v>0</v>
      </c>
      <c r="T381" s="23">
        <v>3.5</v>
      </c>
      <c r="U381" s="23">
        <v>3.6030000000000002</v>
      </c>
      <c r="V381" s="5" t="s">
        <v>3312</v>
      </c>
      <c r="W381" s="4">
        <v>51431</v>
      </c>
      <c r="X381" s="4">
        <v>402500</v>
      </c>
      <c r="Y381" s="11">
        <v>43278</v>
      </c>
      <c r="Z381" s="11">
        <v>45792</v>
      </c>
      <c r="AA381" s="2"/>
      <c r="AB381" s="63" t="s">
        <v>3840</v>
      </c>
      <c r="AC381" s="5" t="s">
        <v>4198</v>
      </c>
      <c r="AD381" s="2"/>
      <c r="AE381" s="10">
        <v>45731</v>
      </c>
      <c r="AF381" s="23">
        <v>100</v>
      </c>
      <c r="AG381" s="10">
        <v>45731</v>
      </c>
      <c r="AH381" s="5" t="s">
        <v>73</v>
      </c>
      <c r="AI381" s="5" t="s">
        <v>1725</v>
      </c>
      <c r="AJ381" s="5" t="s">
        <v>2501</v>
      </c>
      <c r="AK381" s="16" t="s">
        <v>3</v>
      </c>
      <c r="AL381" s="65" t="s">
        <v>3842</v>
      </c>
      <c r="AM381" s="31" t="s">
        <v>898</v>
      </c>
    </row>
    <row r="382" spans="2:39" x14ac:dyDescent="0.25">
      <c r="B382" s="18" t="s">
        <v>619</v>
      </c>
      <c r="C382" s="44" t="s">
        <v>74</v>
      </c>
      <c r="D382" s="20" t="s">
        <v>2804</v>
      </c>
      <c r="E382" s="67" t="s">
        <v>3</v>
      </c>
      <c r="F382" s="51" t="s">
        <v>3</v>
      </c>
      <c r="G382" s="37" t="s">
        <v>2715</v>
      </c>
      <c r="H382" s="68" t="s">
        <v>2715</v>
      </c>
      <c r="I382" s="62" t="s">
        <v>252</v>
      </c>
      <c r="J382" s="61" t="s">
        <v>250</v>
      </c>
      <c r="K382" s="4">
        <v>1487280</v>
      </c>
      <c r="L382" s="39">
        <v>115.08799999999999</v>
      </c>
      <c r="M382" s="4">
        <v>1726320</v>
      </c>
      <c r="N382" s="4">
        <v>1500000</v>
      </c>
      <c r="O382" s="4">
        <v>1488528</v>
      </c>
      <c r="P382" s="4">
        <v>0</v>
      </c>
      <c r="Q382" s="4">
        <v>1248</v>
      </c>
      <c r="R382" s="4">
        <v>0</v>
      </c>
      <c r="S382" s="4">
        <v>0</v>
      </c>
      <c r="T382" s="23">
        <v>3.5</v>
      </c>
      <c r="U382" s="23">
        <v>3.6379999999999999</v>
      </c>
      <c r="V382" s="5" t="s">
        <v>3843</v>
      </c>
      <c r="W382" s="4">
        <v>13125</v>
      </c>
      <c r="X382" s="4">
        <v>27125</v>
      </c>
      <c r="Y382" s="11">
        <v>43913</v>
      </c>
      <c r="Z382" s="11">
        <v>46478</v>
      </c>
      <c r="AA382" s="2"/>
      <c r="AB382" s="63" t="s">
        <v>3840</v>
      </c>
      <c r="AC382" s="5" t="s">
        <v>4198</v>
      </c>
      <c r="AD382" s="2"/>
      <c r="AE382" s="11">
        <v>46419</v>
      </c>
      <c r="AF382" s="23">
        <v>100</v>
      </c>
      <c r="AG382" s="9"/>
      <c r="AH382" s="5" t="s">
        <v>73</v>
      </c>
      <c r="AI382" s="5" t="s">
        <v>1725</v>
      </c>
      <c r="AJ382" s="5" t="s">
        <v>2501</v>
      </c>
      <c r="AK382" s="16" t="s">
        <v>3</v>
      </c>
      <c r="AL382" s="65" t="s">
        <v>3842</v>
      </c>
      <c r="AM382" s="31" t="s">
        <v>898</v>
      </c>
    </row>
    <row r="383" spans="2:39" x14ac:dyDescent="0.25">
      <c r="B383" s="18" t="s">
        <v>1727</v>
      </c>
      <c r="C383" s="44" t="s">
        <v>3604</v>
      </c>
      <c r="D383" s="20" t="s">
        <v>1399</v>
      </c>
      <c r="E383" s="67" t="s">
        <v>3</v>
      </c>
      <c r="F383" s="51" t="s">
        <v>3</v>
      </c>
      <c r="G383" s="37" t="s">
        <v>2715</v>
      </c>
      <c r="H383" s="68" t="s">
        <v>3842</v>
      </c>
      <c r="I383" s="62" t="s">
        <v>10</v>
      </c>
      <c r="J383" s="61" t="s">
        <v>250</v>
      </c>
      <c r="K383" s="4">
        <v>4995150</v>
      </c>
      <c r="L383" s="39">
        <v>113.078</v>
      </c>
      <c r="M383" s="4">
        <v>5653900</v>
      </c>
      <c r="N383" s="4">
        <v>5000000</v>
      </c>
      <c r="O383" s="4">
        <v>4996867</v>
      </c>
      <c r="P383" s="4">
        <v>0</v>
      </c>
      <c r="Q383" s="4">
        <v>656</v>
      </c>
      <c r="R383" s="4">
        <v>0</v>
      </c>
      <c r="S383" s="4">
        <v>0</v>
      </c>
      <c r="T383" s="23">
        <v>4</v>
      </c>
      <c r="U383" s="23">
        <v>4.016</v>
      </c>
      <c r="V383" s="5" t="s">
        <v>3843</v>
      </c>
      <c r="W383" s="4">
        <v>41111</v>
      </c>
      <c r="X383" s="4">
        <v>200000</v>
      </c>
      <c r="Y383" s="11">
        <v>43193</v>
      </c>
      <c r="Z383" s="11">
        <v>45764</v>
      </c>
      <c r="AA383" s="2"/>
      <c r="AB383" s="63" t="s">
        <v>3840</v>
      </c>
      <c r="AC383" s="5" t="s">
        <v>4198</v>
      </c>
      <c r="AD383" s="2"/>
      <c r="AE383" s="10">
        <v>45705</v>
      </c>
      <c r="AF383" s="23">
        <v>100</v>
      </c>
      <c r="AG383" s="6"/>
      <c r="AH383" s="5" t="s">
        <v>973</v>
      </c>
      <c r="AI383" s="5" t="s">
        <v>1399</v>
      </c>
      <c r="AJ383" s="5" t="s">
        <v>3</v>
      </c>
      <c r="AK383" s="16" t="s">
        <v>3</v>
      </c>
      <c r="AL383" s="65" t="s">
        <v>3842</v>
      </c>
      <c r="AM383" s="31" t="s">
        <v>1176</v>
      </c>
    </row>
    <row r="384" spans="2:39" x14ac:dyDescent="0.25">
      <c r="B384" s="18" t="s">
        <v>3605</v>
      </c>
      <c r="C384" s="44" t="s">
        <v>974</v>
      </c>
      <c r="D384" s="20" t="s">
        <v>326</v>
      </c>
      <c r="E384" s="67" t="s">
        <v>3</v>
      </c>
      <c r="F384" s="51" t="s">
        <v>3</v>
      </c>
      <c r="G384" s="37" t="s">
        <v>2715</v>
      </c>
      <c r="H384" s="68" t="s">
        <v>2715</v>
      </c>
      <c r="I384" s="62" t="s">
        <v>1358</v>
      </c>
      <c r="J384" s="61" t="s">
        <v>250</v>
      </c>
      <c r="K384" s="4">
        <v>4205200</v>
      </c>
      <c r="L384" s="39">
        <v>101.874</v>
      </c>
      <c r="M384" s="4">
        <v>4074960</v>
      </c>
      <c r="N384" s="4">
        <v>4000000</v>
      </c>
      <c r="O384" s="4">
        <v>4029562</v>
      </c>
      <c r="P384" s="4">
        <v>0</v>
      </c>
      <c r="Q384" s="4">
        <v>-41087</v>
      </c>
      <c r="R384" s="4">
        <v>0</v>
      </c>
      <c r="S384" s="4">
        <v>0</v>
      </c>
      <c r="T384" s="23">
        <v>3.1629999999999998</v>
      </c>
      <c r="U384" s="23">
        <v>2.1040000000000001</v>
      </c>
      <c r="V384" s="5" t="s">
        <v>3312</v>
      </c>
      <c r="W384" s="4">
        <v>16166</v>
      </c>
      <c r="X384" s="4">
        <v>126520</v>
      </c>
      <c r="Y384" s="11">
        <v>42572</v>
      </c>
      <c r="Z384" s="11">
        <v>44515</v>
      </c>
      <c r="AA384" s="2"/>
      <c r="AB384" s="63" t="s">
        <v>3840</v>
      </c>
      <c r="AC384" s="5" t="s">
        <v>9</v>
      </c>
      <c r="AD384" s="2"/>
      <c r="AE384" s="11">
        <v>44454</v>
      </c>
      <c r="AF384" s="23">
        <v>100</v>
      </c>
      <c r="AG384" s="11">
        <v>44454</v>
      </c>
      <c r="AH384" s="5" t="s">
        <v>2805</v>
      </c>
      <c r="AI384" s="5" t="s">
        <v>326</v>
      </c>
      <c r="AJ384" s="5" t="s">
        <v>3</v>
      </c>
      <c r="AK384" s="16" t="s">
        <v>3</v>
      </c>
      <c r="AL384" s="65" t="s">
        <v>3842</v>
      </c>
      <c r="AM384" s="31" t="s">
        <v>559</v>
      </c>
    </row>
    <row r="385" spans="2:39" x14ac:dyDescent="0.25">
      <c r="B385" s="18" t="s">
        <v>327</v>
      </c>
      <c r="C385" s="44" t="s">
        <v>2047</v>
      </c>
      <c r="D385" s="20" t="s">
        <v>4265</v>
      </c>
      <c r="E385" s="67" t="s">
        <v>3</v>
      </c>
      <c r="F385" s="51" t="s">
        <v>3</v>
      </c>
      <c r="G385" s="37" t="s">
        <v>2715</v>
      </c>
      <c r="H385" s="68" t="s">
        <v>2715</v>
      </c>
      <c r="I385" s="62" t="s">
        <v>1358</v>
      </c>
      <c r="J385" s="61" t="s">
        <v>250</v>
      </c>
      <c r="K385" s="4">
        <v>22356960</v>
      </c>
      <c r="L385" s="39">
        <v>105.699</v>
      </c>
      <c r="M385" s="4">
        <v>23253780</v>
      </c>
      <c r="N385" s="4">
        <v>22000000</v>
      </c>
      <c r="O385" s="4">
        <v>22328300</v>
      </c>
      <c r="P385" s="4">
        <v>0</v>
      </c>
      <c r="Q385" s="4">
        <v>-28660</v>
      </c>
      <c r="R385" s="4">
        <v>0</v>
      </c>
      <c r="S385" s="4">
        <v>0</v>
      </c>
      <c r="T385" s="23">
        <v>2.1</v>
      </c>
      <c r="U385" s="23">
        <v>1.841</v>
      </c>
      <c r="V385" s="5" t="s">
        <v>3843</v>
      </c>
      <c r="W385" s="4">
        <v>78283</v>
      </c>
      <c r="X385" s="4">
        <v>231000</v>
      </c>
      <c r="Y385" s="11">
        <v>43985</v>
      </c>
      <c r="Z385" s="11">
        <v>46507</v>
      </c>
      <c r="AA385" s="2"/>
      <c r="AB385" s="63" t="s">
        <v>3840</v>
      </c>
      <c r="AC385" s="5" t="s">
        <v>4198</v>
      </c>
      <c r="AD385" s="2"/>
      <c r="AE385" s="10">
        <v>46446</v>
      </c>
      <c r="AF385" s="23">
        <v>100</v>
      </c>
      <c r="AG385" s="10">
        <v>46446</v>
      </c>
      <c r="AH385" s="5" t="s">
        <v>2805</v>
      </c>
      <c r="AI385" s="5" t="s">
        <v>326</v>
      </c>
      <c r="AJ385" s="5" t="s">
        <v>928</v>
      </c>
      <c r="AK385" s="16" t="s">
        <v>3</v>
      </c>
      <c r="AL385" s="65" t="s">
        <v>3842</v>
      </c>
      <c r="AM385" s="31" t="s">
        <v>559</v>
      </c>
    </row>
    <row r="386" spans="2:39" x14ac:dyDescent="0.25">
      <c r="B386" s="18" t="s">
        <v>1400</v>
      </c>
      <c r="C386" s="44" t="s">
        <v>328</v>
      </c>
      <c r="D386" s="20" t="s">
        <v>975</v>
      </c>
      <c r="E386" s="67" t="s">
        <v>3</v>
      </c>
      <c r="F386" s="51" t="s">
        <v>3</v>
      </c>
      <c r="G386" s="37" t="s">
        <v>2715</v>
      </c>
      <c r="H386" s="68" t="s">
        <v>3842</v>
      </c>
      <c r="I386" s="62" t="s">
        <v>3310</v>
      </c>
      <c r="J386" s="61" t="s">
        <v>250</v>
      </c>
      <c r="K386" s="4">
        <v>4992950</v>
      </c>
      <c r="L386" s="39">
        <v>104.377</v>
      </c>
      <c r="M386" s="4">
        <v>5218850</v>
      </c>
      <c r="N386" s="4">
        <v>5000000</v>
      </c>
      <c r="O386" s="4">
        <v>4998155</v>
      </c>
      <c r="P386" s="4">
        <v>0</v>
      </c>
      <c r="Q386" s="4">
        <v>1061</v>
      </c>
      <c r="R386" s="4">
        <v>0</v>
      </c>
      <c r="S386" s="4">
        <v>0</v>
      </c>
      <c r="T386" s="23">
        <v>3.25</v>
      </c>
      <c r="U386" s="23">
        <v>3.2730000000000001</v>
      </c>
      <c r="V386" s="5" t="s">
        <v>12</v>
      </c>
      <c r="W386" s="4">
        <v>54167</v>
      </c>
      <c r="X386" s="4">
        <v>162500</v>
      </c>
      <c r="Y386" s="11">
        <v>42256</v>
      </c>
      <c r="Z386" s="11">
        <v>44805</v>
      </c>
      <c r="AA386" s="2"/>
      <c r="AB386" s="63" t="s">
        <v>3840</v>
      </c>
      <c r="AC386" s="5" t="s">
        <v>4198</v>
      </c>
      <c r="AD386" s="2"/>
      <c r="AE386" s="10">
        <v>44743</v>
      </c>
      <c r="AF386" s="23">
        <v>100</v>
      </c>
      <c r="AG386" s="6"/>
      <c r="AH386" s="5" t="s">
        <v>976</v>
      </c>
      <c r="AI386" s="5" t="s">
        <v>975</v>
      </c>
      <c r="AJ386" s="5" t="s">
        <v>3</v>
      </c>
      <c r="AK386" s="16" t="s">
        <v>3</v>
      </c>
      <c r="AL386" s="65" t="s">
        <v>3842</v>
      </c>
      <c r="AM386" s="31" t="s">
        <v>1651</v>
      </c>
    </row>
    <row r="387" spans="2:39" x14ac:dyDescent="0.25">
      <c r="B387" s="18" t="s">
        <v>2502</v>
      </c>
      <c r="C387" s="44" t="s">
        <v>1728</v>
      </c>
      <c r="D387" s="20" t="s">
        <v>975</v>
      </c>
      <c r="E387" s="67" t="s">
        <v>3</v>
      </c>
      <c r="F387" s="51" t="s">
        <v>3</v>
      </c>
      <c r="G387" s="37" t="s">
        <v>2715</v>
      </c>
      <c r="H387" s="68" t="s">
        <v>3842</v>
      </c>
      <c r="I387" s="62" t="s">
        <v>3310</v>
      </c>
      <c r="J387" s="61" t="s">
        <v>250</v>
      </c>
      <c r="K387" s="4">
        <v>4953900</v>
      </c>
      <c r="L387" s="39">
        <v>113.38800000000001</v>
      </c>
      <c r="M387" s="4">
        <v>5669400</v>
      </c>
      <c r="N387" s="4">
        <v>5000000</v>
      </c>
      <c r="O387" s="4">
        <v>4967630</v>
      </c>
      <c r="P387" s="4">
        <v>0</v>
      </c>
      <c r="Q387" s="4">
        <v>5573</v>
      </c>
      <c r="R387" s="4">
        <v>0</v>
      </c>
      <c r="S387" s="4">
        <v>0</v>
      </c>
      <c r="T387" s="23">
        <v>3.65</v>
      </c>
      <c r="U387" s="23">
        <v>3.7890000000000001</v>
      </c>
      <c r="V387" s="5" t="s">
        <v>12</v>
      </c>
      <c r="W387" s="4">
        <v>60833</v>
      </c>
      <c r="X387" s="4">
        <v>182500</v>
      </c>
      <c r="Y387" s="11">
        <v>43278</v>
      </c>
      <c r="Z387" s="11">
        <v>46082</v>
      </c>
      <c r="AA387" s="2"/>
      <c r="AB387" s="63" t="s">
        <v>3840</v>
      </c>
      <c r="AC387" s="5" t="s">
        <v>4198</v>
      </c>
      <c r="AD387" s="2"/>
      <c r="AE387" s="11">
        <v>45992</v>
      </c>
      <c r="AF387" s="23">
        <v>100</v>
      </c>
      <c r="AG387" s="9"/>
      <c r="AH387" s="5" t="s">
        <v>976</v>
      </c>
      <c r="AI387" s="5" t="s">
        <v>975</v>
      </c>
      <c r="AJ387" s="5" t="s">
        <v>3</v>
      </c>
      <c r="AK387" s="16" t="s">
        <v>3</v>
      </c>
      <c r="AL387" s="65" t="s">
        <v>3842</v>
      </c>
      <c r="AM387" s="31" t="s">
        <v>1651</v>
      </c>
    </row>
    <row r="388" spans="2:39" x14ac:dyDescent="0.25">
      <c r="B388" s="18" t="s">
        <v>3606</v>
      </c>
      <c r="C388" s="44" t="s">
        <v>2503</v>
      </c>
      <c r="D388" s="20" t="s">
        <v>975</v>
      </c>
      <c r="E388" s="67" t="s">
        <v>3</v>
      </c>
      <c r="F388" s="51" t="s">
        <v>3</v>
      </c>
      <c r="G388" s="37" t="s">
        <v>2715</v>
      </c>
      <c r="H388" s="68" t="s">
        <v>3842</v>
      </c>
      <c r="I388" s="62" t="s">
        <v>3310</v>
      </c>
      <c r="J388" s="61" t="s">
        <v>250</v>
      </c>
      <c r="K388" s="4">
        <v>4982300</v>
      </c>
      <c r="L388" s="39">
        <v>105.202</v>
      </c>
      <c r="M388" s="4">
        <v>5260100</v>
      </c>
      <c r="N388" s="4">
        <v>5000000</v>
      </c>
      <c r="O388" s="4">
        <v>4992821</v>
      </c>
      <c r="P388" s="4">
        <v>0</v>
      </c>
      <c r="Q388" s="4">
        <v>2570</v>
      </c>
      <c r="R388" s="4">
        <v>0</v>
      </c>
      <c r="S388" s="4">
        <v>0</v>
      </c>
      <c r="T388" s="23">
        <v>2.5</v>
      </c>
      <c r="U388" s="23">
        <v>2.556</v>
      </c>
      <c r="V388" s="5" t="s">
        <v>12</v>
      </c>
      <c r="W388" s="4">
        <v>41667</v>
      </c>
      <c r="X388" s="4">
        <v>125000</v>
      </c>
      <c r="Y388" s="11">
        <v>42628</v>
      </c>
      <c r="Z388" s="11">
        <v>45170</v>
      </c>
      <c r="AA388" s="2"/>
      <c r="AB388" s="63" t="s">
        <v>3840</v>
      </c>
      <c r="AC388" s="5" t="s">
        <v>4198</v>
      </c>
      <c r="AD388" s="2"/>
      <c r="AE388" s="11">
        <v>45108</v>
      </c>
      <c r="AF388" s="23">
        <v>100</v>
      </c>
      <c r="AG388" s="9"/>
      <c r="AH388" s="5" t="s">
        <v>976</v>
      </c>
      <c r="AI388" s="5" t="s">
        <v>975</v>
      </c>
      <c r="AJ388" s="5" t="s">
        <v>3</v>
      </c>
      <c r="AK388" s="16" t="s">
        <v>3</v>
      </c>
      <c r="AL388" s="65" t="s">
        <v>3842</v>
      </c>
      <c r="AM388" s="31" t="s">
        <v>1651</v>
      </c>
    </row>
    <row r="389" spans="2:39" x14ac:dyDescent="0.25">
      <c r="B389" s="18" t="s">
        <v>329</v>
      </c>
      <c r="C389" s="44" t="s">
        <v>3133</v>
      </c>
      <c r="D389" s="20" t="s">
        <v>3918</v>
      </c>
      <c r="E389" s="67" t="s">
        <v>3</v>
      </c>
      <c r="F389" s="51" t="s">
        <v>3</v>
      </c>
      <c r="G389" s="37" t="s">
        <v>2715</v>
      </c>
      <c r="H389" s="68" t="s">
        <v>2715</v>
      </c>
      <c r="I389" s="62" t="s">
        <v>252</v>
      </c>
      <c r="J389" s="61" t="s">
        <v>250</v>
      </c>
      <c r="K389" s="4">
        <v>4966400</v>
      </c>
      <c r="L389" s="39">
        <v>112.684</v>
      </c>
      <c r="M389" s="4">
        <v>5634200</v>
      </c>
      <c r="N389" s="4">
        <v>5000000</v>
      </c>
      <c r="O389" s="4">
        <v>4978009</v>
      </c>
      <c r="P389" s="4">
        <v>0</v>
      </c>
      <c r="Q389" s="4">
        <v>4550</v>
      </c>
      <c r="R389" s="4">
        <v>0</v>
      </c>
      <c r="S389" s="4">
        <v>0</v>
      </c>
      <c r="T389" s="23">
        <v>3.625</v>
      </c>
      <c r="U389" s="23">
        <v>3.7349999999999999</v>
      </c>
      <c r="V389" s="5" t="s">
        <v>3312</v>
      </c>
      <c r="W389" s="4">
        <v>23160</v>
      </c>
      <c r="X389" s="4">
        <v>181250</v>
      </c>
      <c r="Y389" s="11">
        <v>43230</v>
      </c>
      <c r="Z389" s="11">
        <v>45792</v>
      </c>
      <c r="AA389" s="2"/>
      <c r="AB389" s="63" t="s">
        <v>3840</v>
      </c>
      <c r="AC389" s="5" t="s">
        <v>4198</v>
      </c>
      <c r="AD389" s="2"/>
      <c r="AE389" s="9"/>
      <c r="AF389" s="23"/>
      <c r="AG389" s="6"/>
      <c r="AH389" s="5" t="s">
        <v>1205</v>
      </c>
      <c r="AI389" s="5" t="s">
        <v>2504</v>
      </c>
      <c r="AJ389" s="5" t="s">
        <v>2806</v>
      </c>
      <c r="AK389" s="16" t="s">
        <v>3</v>
      </c>
      <c r="AL389" s="65" t="s">
        <v>3842</v>
      </c>
      <c r="AM389" s="31" t="s">
        <v>898</v>
      </c>
    </row>
    <row r="390" spans="2:39" x14ac:dyDescent="0.25">
      <c r="B390" s="18" t="s">
        <v>1729</v>
      </c>
      <c r="C390" s="44" t="s">
        <v>2270</v>
      </c>
      <c r="D390" s="20" t="s">
        <v>2271</v>
      </c>
      <c r="E390" s="67" t="s">
        <v>3</v>
      </c>
      <c r="F390" s="51" t="s">
        <v>3</v>
      </c>
      <c r="G390" s="37" t="s">
        <v>2715</v>
      </c>
      <c r="H390" s="68" t="s">
        <v>3842</v>
      </c>
      <c r="I390" s="62" t="s">
        <v>1157</v>
      </c>
      <c r="J390" s="61" t="s">
        <v>250</v>
      </c>
      <c r="K390" s="4">
        <v>12615208</v>
      </c>
      <c r="L390" s="39">
        <v>107.16200000000001</v>
      </c>
      <c r="M390" s="4">
        <v>13395250</v>
      </c>
      <c r="N390" s="4">
        <v>12500000</v>
      </c>
      <c r="O390" s="4">
        <v>12595598</v>
      </c>
      <c r="P390" s="4">
        <v>0</v>
      </c>
      <c r="Q390" s="4">
        <v>-19524</v>
      </c>
      <c r="R390" s="4">
        <v>0</v>
      </c>
      <c r="S390" s="4">
        <v>0</v>
      </c>
      <c r="T390" s="23">
        <v>2.65</v>
      </c>
      <c r="U390" s="23">
        <v>2.4489999999999998</v>
      </c>
      <c r="V390" s="5" t="s">
        <v>248</v>
      </c>
      <c r="W390" s="4">
        <v>125139</v>
      </c>
      <c r="X390" s="4">
        <v>265552</v>
      </c>
      <c r="Y390" s="11">
        <v>43873</v>
      </c>
      <c r="Z390" s="11">
        <v>45703</v>
      </c>
      <c r="AA390" s="2"/>
      <c r="AB390" s="63" t="s">
        <v>3840</v>
      </c>
      <c r="AC390" s="5" t="s">
        <v>4198</v>
      </c>
      <c r="AD390" s="2"/>
      <c r="AE390" s="11">
        <v>45672</v>
      </c>
      <c r="AF390" s="23">
        <v>100</v>
      </c>
      <c r="AG390" s="10">
        <v>45672</v>
      </c>
      <c r="AH390" s="5" t="s">
        <v>2505</v>
      </c>
      <c r="AI390" s="5" t="s">
        <v>2807</v>
      </c>
      <c r="AJ390" s="5" t="s">
        <v>2048</v>
      </c>
      <c r="AK390" s="16" t="s">
        <v>3</v>
      </c>
      <c r="AL390" s="65" t="s">
        <v>3842</v>
      </c>
      <c r="AM390" s="31" t="s">
        <v>926</v>
      </c>
    </row>
    <row r="391" spans="2:39" x14ac:dyDescent="0.25">
      <c r="B391" s="18" t="s">
        <v>2808</v>
      </c>
      <c r="C391" s="44" t="s">
        <v>3134</v>
      </c>
      <c r="D391" s="20" t="s">
        <v>75</v>
      </c>
      <c r="E391" s="67" t="s">
        <v>3</v>
      </c>
      <c r="F391" s="51" t="s">
        <v>3</v>
      </c>
      <c r="G391" s="37" t="s">
        <v>2715</v>
      </c>
      <c r="H391" s="68" t="s">
        <v>929</v>
      </c>
      <c r="I391" s="62" t="s">
        <v>10</v>
      </c>
      <c r="J391" s="61" t="s">
        <v>250</v>
      </c>
      <c r="K391" s="4">
        <v>500000</v>
      </c>
      <c r="L391" s="39">
        <v>110.504</v>
      </c>
      <c r="M391" s="4">
        <v>552520</v>
      </c>
      <c r="N391" s="4">
        <v>500000</v>
      </c>
      <c r="O391" s="4">
        <v>500000</v>
      </c>
      <c r="P391" s="4">
        <v>0</v>
      </c>
      <c r="Q391" s="4">
        <v>0</v>
      </c>
      <c r="R391" s="4">
        <v>0</v>
      </c>
      <c r="S391" s="4">
        <v>0</v>
      </c>
      <c r="T391" s="23">
        <v>4.75</v>
      </c>
      <c r="U391" s="23">
        <v>4.75</v>
      </c>
      <c r="V391" s="5" t="s">
        <v>1982</v>
      </c>
      <c r="W391" s="4">
        <v>10951</v>
      </c>
      <c r="X391" s="4">
        <v>25069</v>
      </c>
      <c r="Y391" s="11">
        <v>43627</v>
      </c>
      <c r="Z391" s="11">
        <v>46583</v>
      </c>
      <c r="AA391" s="2"/>
      <c r="AB391" s="63" t="s">
        <v>3840</v>
      </c>
      <c r="AC391" s="5" t="s">
        <v>4198</v>
      </c>
      <c r="AD391" s="2"/>
      <c r="AE391" s="10">
        <v>46492</v>
      </c>
      <c r="AF391" s="23">
        <v>100</v>
      </c>
      <c r="AG391" s="6"/>
      <c r="AH391" s="5" t="s">
        <v>3</v>
      </c>
      <c r="AI391" s="5" t="s">
        <v>330</v>
      </c>
      <c r="AJ391" s="5" t="s">
        <v>928</v>
      </c>
      <c r="AK391" s="16" t="s">
        <v>3</v>
      </c>
      <c r="AL391" s="65" t="s">
        <v>3842</v>
      </c>
      <c r="AM391" s="31" t="s">
        <v>586</v>
      </c>
    </row>
    <row r="392" spans="2:39" x14ac:dyDescent="0.25">
      <c r="B392" s="18" t="s">
        <v>3919</v>
      </c>
      <c r="C392" s="44" t="s">
        <v>1730</v>
      </c>
      <c r="D392" s="20" t="s">
        <v>2272</v>
      </c>
      <c r="E392" s="67" t="s">
        <v>3</v>
      </c>
      <c r="F392" s="51" t="s">
        <v>3</v>
      </c>
      <c r="G392" s="37" t="s">
        <v>2715</v>
      </c>
      <c r="H392" s="68" t="s">
        <v>929</v>
      </c>
      <c r="I392" s="62" t="s">
        <v>10</v>
      </c>
      <c r="J392" s="61" t="s">
        <v>250</v>
      </c>
      <c r="K392" s="4">
        <v>4030000</v>
      </c>
      <c r="L392" s="39">
        <v>106.797</v>
      </c>
      <c r="M392" s="4">
        <v>4271880</v>
      </c>
      <c r="N392" s="4">
        <v>4000000</v>
      </c>
      <c r="O392" s="4">
        <v>4014304</v>
      </c>
      <c r="P392" s="4">
        <v>0</v>
      </c>
      <c r="Q392" s="4">
        <v>-3804</v>
      </c>
      <c r="R392" s="4">
        <v>0</v>
      </c>
      <c r="S392" s="4">
        <v>0</v>
      </c>
      <c r="T392" s="23">
        <v>4.125</v>
      </c>
      <c r="U392" s="23">
        <v>4.0119999999999996</v>
      </c>
      <c r="V392" s="5" t="s">
        <v>248</v>
      </c>
      <c r="W392" s="4">
        <v>62333</v>
      </c>
      <c r="X392" s="4">
        <v>165000</v>
      </c>
      <c r="Y392" s="11">
        <v>42590</v>
      </c>
      <c r="Z392" s="11">
        <v>45519</v>
      </c>
      <c r="AA392" s="2"/>
      <c r="AB392" s="63" t="s">
        <v>3840</v>
      </c>
      <c r="AC392" s="5" t="s">
        <v>4198</v>
      </c>
      <c r="AD392" s="2"/>
      <c r="AE392" s="11">
        <v>45427</v>
      </c>
      <c r="AF392" s="23">
        <v>100</v>
      </c>
      <c r="AG392" s="10">
        <v>45427</v>
      </c>
      <c r="AH392" s="5" t="s">
        <v>3135</v>
      </c>
      <c r="AI392" s="5" t="s">
        <v>2272</v>
      </c>
      <c r="AJ392" s="5" t="s">
        <v>3</v>
      </c>
      <c r="AK392" s="16" t="s">
        <v>3</v>
      </c>
      <c r="AL392" s="65" t="s">
        <v>3842</v>
      </c>
      <c r="AM392" s="31" t="s">
        <v>586</v>
      </c>
    </row>
    <row r="393" spans="2:39" x14ac:dyDescent="0.25">
      <c r="B393" s="18" t="s">
        <v>620</v>
      </c>
      <c r="C393" s="44" t="s">
        <v>977</v>
      </c>
      <c r="D393" s="20" t="s">
        <v>1731</v>
      </c>
      <c r="E393" s="67" t="s">
        <v>3</v>
      </c>
      <c r="F393" s="51" t="s">
        <v>3</v>
      </c>
      <c r="G393" s="37" t="s">
        <v>2715</v>
      </c>
      <c r="H393" s="68" t="s">
        <v>3842</v>
      </c>
      <c r="I393" s="62" t="s">
        <v>1157</v>
      </c>
      <c r="J393" s="61" t="s">
        <v>250</v>
      </c>
      <c r="K393" s="4">
        <v>9985600</v>
      </c>
      <c r="L393" s="39">
        <v>103.52200000000001</v>
      </c>
      <c r="M393" s="4">
        <v>10352200</v>
      </c>
      <c r="N393" s="4">
        <v>10000000</v>
      </c>
      <c r="O393" s="4">
        <v>9986377</v>
      </c>
      <c r="P393" s="4">
        <v>0</v>
      </c>
      <c r="Q393" s="4">
        <v>777</v>
      </c>
      <c r="R393" s="4">
        <v>0</v>
      </c>
      <c r="S393" s="4">
        <v>0</v>
      </c>
      <c r="T393" s="23">
        <v>2.6</v>
      </c>
      <c r="U393" s="23">
        <v>2.63</v>
      </c>
      <c r="V393" s="5" t="s">
        <v>3843</v>
      </c>
      <c r="W393" s="4">
        <v>76556</v>
      </c>
      <c r="X393" s="4">
        <v>0</v>
      </c>
      <c r="Y393" s="11">
        <v>44085</v>
      </c>
      <c r="Z393" s="11">
        <v>45945</v>
      </c>
      <c r="AA393" s="2"/>
      <c r="AB393" s="63" t="s">
        <v>3840</v>
      </c>
      <c r="AC393" s="5" t="s">
        <v>4198</v>
      </c>
      <c r="AD393" s="2"/>
      <c r="AE393" s="11">
        <v>45915</v>
      </c>
      <c r="AF393" s="23">
        <v>100</v>
      </c>
      <c r="AG393" s="9"/>
      <c r="AH393" s="5" t="s">
        <v>3</v>
      </c>
      <c r="AI393" s="5" t="s">
        <v>3366</v>
      </c>
      <c r="AJ393" s="5" t="s">
        <v>928</v>
      </c>
      <c r="AK393" s="16" t="s">
        <v>3</v>
      </c>
      <c r="AL393" s="65" t="s">
        <v>3842</v>
      </c>
      <c r="AM393" s="31" t="s">
        <v>926</v>
      </c>
    </row>
    <row r="394" spans="2:39" x14ac:dyDescent="0.25">
      <c r="B394" s="18" t="s">
        <v>2506</v>
      </c>
      <c r="C394" s="44" t="s">
        <v>3367</v>
      </c>
      <c r="D394" s="20" t="s">
        <v>978</v>
      </c>
      <c r="E394" s="67" t="s">
        <v>3</v>
      </c>
      <c r="F394" s="51" t="s">
        <v>3</v>
      </c>
      <c r="G394" s="37" t="s">
        <v>3</v>
      </c>
      <c r="H394" s="68" t="s">
        <v>2715</v>
      </c>
      <c r="I394" s="62" t="s">
        <v>10</v>
      </c>
      <c r="J394" s="61" t="s">
        <v>250</v>
      </c>
      <c r="K394" s="4">
        <v>4993400</v>
      </c>
      <c r="L394" s="39">
        <v>100.547</v>
      </c>
      <c r="M394" s="4">
        <v>5027350</v>
      </c>
      <c r="N394" s="4">
        <v>5000000</v>
      </c>
      <c r="O394" s="4">
        <v>4999559</v>
      </c>
      <c r="P394" s="4">
        <v>0</v>
      </c>
      <c r="Q394" s="4">
        <v>1365</v>
      </c>
      <c r="R394" s="4">
        <v>0</v>
      </c>
      <c r="S394" s="4">
        <v>0</v>
      </c>
      <c r="T394" s="23">
        <v>2</v>
      </c>
      <c r="U394" s="23">
        <v>2.028</v>
      </c>
      <c r="V394" s="5" t="s">
        <v>3843</v>
      </c>
      <c r="W394" s="4">
        <v>18056</v>
      </c>
      <c r="X394" s="4">
        <v>100000</v>
      </c>
      <c r="Y394" s="11">
        <v>42479</v>
      </c>
      <c r="Z394" s="11">
        <v>44312</v>
      </c>
      <c r="AA394" s="2"/>
      <c r="AB394" s="63" t="s">
        <v>3840</v>
      </c>
      <c r="AC394" s="5" t="s">
        <v>9</v>
      </c>
      <c r="AD394" s="2"/>
      <c r="AE394" s="9"/>
      <c r="AF394" s="23"/>
      <c r="AG394" s="9"/>
      <c r="AH394" s="5" t="s">
        <v>3</v>
      </c>
      <c r="AI394" s="5" t="s">
        <v>978</v>
      </c>
      <c r="AJ394" s="5" t="s">
        <v>3</v>
      </c>
      <c r="AK394" s="16" t="s">
        <v>3</v>
      </c>
      <c r="AL394" s="65" t="s">
        <v>2715</v>
      </c>
      <c r="AM394" s="31" t="s">
        <v>1992</v>
      </c>
    </row>
    <row r="395" spans="2:39" x14ac:dyDescent="0.25">
      <c r="B395" s="18" t="s">
        <v>3607</v>
      </c>
      <c r="C395" s="44" t="s">
        <v>1401</v>
      </c>
      <c r="D395" s="20" t="s">
        <v>978</v>
      </c>
      <c r="E395" s="67" t="s">
        <v>3</v>
      </c>
      <c r="F395" s="51" t="s">
        <v>3</v>
      </c>
      <c r="G395" s="37" t="s">
        <v>3</v>
      </c>
      <c r="H395" s="68" t="s">
        <v>2715</v>
      </c>
      <c r="I395" s="62" t="s">
        <v>10</v>
      </c>
      <c r="J395" s="61" t="s">
        <v>250</v>
      </c>
      <c r="K395" s="4">
        <v>3997360</v>
      </c>
      <c r="L395" s="39">
        <v>101.38200000000001</v>
      </c>
      <c r="M395" s="4">
        <v>4055280</v>
      </c>
      <c r="N395" s="4">
        <v>4000000</v>
      </c>
      <c r="O395" s="4">
        <v>3999548</v>
      </c>
      <c r="P395" s="4">
        <v>0</v>
      </c>
      <c r="Q395" s="4">
        <v>540</v>
      </c>
      <c r="R395" s="4">
        <v>0</v>
      </c>
      <c r="S395" s="4">
        <v>0</v>
      </c>
      <c r="T395" s="23">
        <v>1.95</v>
      </c>
      <c r="U395" s="23">
        <v>1.964</v>
      </c>
      <c r="V395" s="5" t="s">
        <v>3843</v>
      </c>
      <c r="W395" s="4">
        <v>13867</v>
      </c>
      <c r="X395" s="4">
        <v>78000</v>
      </c>
      <c r="Y395" s="11">
        <v>42663</v>
      </c>
      <c r="Z395" s="11">
        <v>44496</v>
      </c>
      <c r="AA395" s="2"/>
      <c r="AB395" s="63" t="s">
        <v>3840</v>
      </c>
      <c r="AC395" s="5" t="s">
        <v>9</v>
      </c>
      <c r="AD395" s="2"/>
      <c r="AE395" s="9"/>
      <c r="AF395" s="23"/>
      <c r="AG395" s="6"/>
      <c r="AH395" s="5" t="s">
        <v>3</v>
      </c>
      <c r="AI395" s="5" t="s">
        <v>978</v>
      </c>
      <c r="AJ395" s="5" t="s">
        <v>3</v>
      </c>
      <c r="AK395" s="16" t="s">
        <v>3</v>
      </c>
      <c r="AL395" s="65" t="s">
        <v>2715</v>
      </c>
      <c r="AM395" s="31" t="s">
        <v>1992</v>
      </c>
    </row>
    <row r="396" spans="2:39" x14ac:dyDescent="0.25">
      <c r="B396" s="18" t="s">
        <v>331</v>
      </c>
      <c r="C396" s="44" t="s">
        <v>2507</v>
      </c>
      <c r="D396" s="20" t="s">
        <v>2049</v>
      </c>
      <c r="E396" s="67" t="s">
        <v>3</v>
      </c>
      <c r="F396" s="51" t="s">
        <v>3</v>
      </c>
      <c r="G396" s="37" t="s">
        <v>3</v>
      </c>
      <c r="H396" s="68" t="s">
        <v>2715</v>
      </c>
      <c r="I396" s="62" t="s">
        <v>10</v>
      </c>
      <c r="J396" s="61" t="s">
        <v>250</v>
      </c>
      <c r="K396" s="4">
        <v>6988380</v>
      </c>
      <c r="L396" s="39">
        <v>101.179</v>
      </c>
      <c r="M396" s="4">
        <v>7082530</v>
      </c>
      <c r="N396" s="4">
        <v>7000000</v>
      </c>
      <c r="O396" s="4">
        <v>6989150</v>
      </c>
      <c r="P396" s="4">
        <v>0</v>
      </c>
      <c r="Q396" s="4">
        <v>770</v>
      </c>
      <c r="R396" s="4">
        <v>0</v>
      </c>
      <c r="S396" s="4">
        <v>0</v>
      </c>
      <c r="T396" s="23">
        <v>1.4</v>
      </c>
      <c r="U396" s="23">
        <v>1.425</v>
      </c>
      <c r="V396" s="5" t="s">
        <v>1982</v>
      </c>
      <c r="W396" s="4">
        <v>47639</v>
      </c>
      <c r="X396" s="4">
        <v>0</v>
      </c>
      <c r="Y396" s="11">
        <v>44012</v>
      </c>
      <c r="Z396" s="11">
        <v>46574</v>
      </c>
      <c r="AA396" s="2"/>
      <c r="AB396" s="63" t="s">
        <v>3840</v>
      </c>
      <c r="AC396" s="5" t="s">
        <v>4198</v>
      </c>
      <c r="AD396" s="2"/>
      <c r="AE396" s="9"/>
      <c r="AF396" s="23"/>
      <c r="AG396" s="6"/>
      <c r="AH396" s="5" t="s">
        <v>3</v>
      </c>
      <c r="AI396" s="5" t="s">
        <v>978</v>
      </c>
      <c r="AJ396" s="5" t="s">
        <v>928</v>
      </c>
      <c r="AK396" s="16" t="s">
        <v>3</v>
      </c>
      <c r="AL396" s="65" t="s">
        <v>2715</v>
      </c>
      <c r="AM396" s="31" t="s">
        <v>1992</v>
      </c>
    </row>
    <row r="397" spans="2:39" x14ac:dyDescent="0.25">
      <c r="B397" s="18" t="s">
        <v>1402</v>
      </c>
      <c r="C397" s="44" t="s">
        <v>2050</v>
      </c>
      <c r="D397" s="20" t="s">
        <v>2049</v>
      </c>
      <c r="E397" s="67" t="s">
        <v>3</v>
      </c>
      <c r="F397" s="51" t="s">
        <v>3</v>
      </c>
      <c r="G397" s="37" t="s">
        <v>3</v>
      </c>
      <c r="H397" s="68" t="s">
        <v>2715</v>
      </c>
      <c r="I397" s="62" t="s">
        <v>10</v>
      </c>
      <c r="J397" s="61" t="s">
        <v>250</v>
      </c>
      <c r="K397" s="4">
        <v>9960700</v>
      </c>
      <c r="L397" s="39">
        <v>100.044</v>
      </c>
      <c r="M397" s="4">
        <v>10004400</v>
      </c>
      <c r="N397" s="4">
        <v>10000000</v>
      </c>
      <c r="O397" s="4">
        <v>9961328</v>
      </c>
      <c r="P397" s="4">
        <v>0</v>
      </c>
      <c r="Q397" s="4">
        <v>628</v>
      </c>
      <c r="R397" s="4">
        <v>0</v>
      </c>
      <c r="S397" s="4">
        <v>0</v>
      </c>
      <c r="T397" s="23">
        <v>1.25</v>
      </c>
      <c r="U397" s="23">
        <v>1.3089999999999999</v>
      </c>
      <c r="V397" s="5" t="s">
        <v>3312</v>
      </c>
      <c r="W397" s="4">
        <v>14583</v>
      </c>
      <c r="X397" s="4">
        <v>0</v>
      </c>
      <c r="Y397" s="11">
        <v>44151</v>
      </c>
      <c r="Z397" s="11">
        <v>46710</v>
      </c>
      <c r="AA397" s="2"/>
      <c r="AB397" s="63" t="s">
        <v>3840</v>
      </c>
      <c r="AC397" s="5" t="s">
        <v>4198</v>
      </c>
      <c r="AD397" s="2"/>
      <c r="AE397" s="9"/>
      <c r="AF397" s="23"/>
      <c r="AG397" s="9"/>
      <c r="AH397" s="5" t="s">
        <v>3</v>
      </c>
      <c r="AI397" s="5" t="s">
        <v>978</v>
      </c>
      <c r="AJ397" s="5" t="s">
        <v>928</v>
      </c>
      <c r="AK397" s="16" t="s">
        <v>3</v>
      </c>
      <c r="AL397" s="65" t="s">
        <v>2715</v>
      </c>
      <c r="AM397" s="31" t="s">
        <v>1992</v>
      </c>
    </row>
    <row r="398" spans="2:39" x14ac:dyDescent="0.25">
      <c r="B398" s="18" t="s">
        <v>2809</v>
      </c>
      <c r="C398" s="44" t="s">
        <v>621</v>
      </c>
      <c r="D398" s="20" t="s">
        <v>3608</v>
      </c>
      <c r="E398" s="67" t="s">
        <v>3</v>
      </c>
      <c r="F398" s="51" t="s">
        <v>3</v>
      </c>
      <c r="G398" s="37" t="s">
        <v>2715</v>
      </c>
      <c r="H398" s="68" t="s">
        <v>929</v>
      </c>
      <c r="I398" s="62" t="s">
        <v>1157</v>
      </c>
      <c r="J398" s="61" t="s">
        <v>250</v>
      </c>
      <c r="K398" s="4">
        <v>2000000</v>
      </c>
      <c r="L398" s="39">
        <v>104.982</v>
      </c>
      <c r="M398" s="4">
        <v>2099640</v>
      </c>
      <c r="N398" s="4">
        <v>2000000</v>
      </c>
      <c r="O398" s="4">
        <v>2000000</v>
      </c>
      <c r="P398" s="4">
        <v>0</v>
      </c>
      <c r="Q398" s="4">
        <v>0</v>
      </c>
      <c r="R398" s="4">
        <v>0</v>
      </c>
      <c r="S398" s="4">
        <v>0</v>
      </c>
      <c r="T398" s="23">
        <v>4.625</v>
      </c>
      <c r="U398" s="23">
        <v>4.625</v>
      </c>
      <c r="V398" s="5" t="s">
        <v>3312</v>
      </c>
      <c r="W398" s="4">
        <v>11819</v>
      </c>
      <c r="X398" s="4">
        <v>92500</v>
      </c>
      <c r="Y398" s="11">
        <v>42493</v>
      </c>
      <c r="Z398" s="11">
        <v>45427</v>
      </c>
      <c r="AA398" s="2"/>
      <c r="AB398" s="63" t="s">
        <v>3840</v>
      </c>
      <c r="AC398" s="5" t="s">
        <v>4198</v>
      </c>
      <c r="AD398" s="2"/>
      <c r="AE398" s="10">
        <v>45337</v>
      </c>
      <c r="AF398" s="23">
        <v>100</v>
      </c>
      <c r="AG398" s="6"/>
      <c r="AH398" s="5" t="s">
        <v>4266</v>
      </c>
      <c r="AI398" s="5" t="s">
        <v>3608</v>
      </c>
      <c r="AJ398" s="5" t="s">
        <v>3</v>
      </c>
      <c r="AK398" s="16" t="s">
        <v>3</v>
      </c>
      <c r="AL398" s="65" t="s">
        <v>3842</v>
      </c>
      <c r="AM398" s="31" t="s">
        <v>276</v>
      </c>
    </row>
    <row r="399" spans="2:39" x14ac:dyDescent="0.25">
      <c r="B399" s="18" t="s">
        <v>3920</v>
      </c>
      <c r="C399" s="44" t="s">
        <v>2273</v>
      </c>
      <c r="D399" s="20" t="s">
        <v>2274</v>
      </c>
      <c r="E399" s="67" t="s">
        <v>3</v>
      </c>
      <c r="F399" s="51" t="s">
        <v>3</v>
      </c>
      <c r="G399" s="37" t="s">
        <v>3</v>
      </c>
      <c r="H399" s="68" t="s">
        <v>2715</v>
      </c>
      <c r="I399" s="62" t="s">
        <v>1358</v>
      </c>
      <c r="J399" s="61" t="s">
        <v>250</v>
      </c>
      <c r="K399" s="4">
        <v>9000000</v>
      </c>
      <c r="L399" s="39">
        <v>102.996</v>
      </c>
      <c r="M399" s="4">
        <v>9269640</v>
      </c>
      <c r="N399" s="4">
        <v>9000000</v>
      </c>
      <c r="O399" s="4">
        <v>9000000</v>
      </c>
      <c r="P399" s="4">
        <v>0</v>
      </c>
      <c r="Q399" s="4">
        <v>0</v>
      </c>
      <c r="R399" s="4">
        <v>0</v>
      </c>
      <c r="S399" s="4">
        <v>0</v>
      </c>
      <c r="T399" s="23">
        <v>2.88</v>
      </c>
      <c r="U399" s="23">
        <v>2.88</v>
      </c>
      <c r="V399" s="5" t="s">
        <v>3844</v>
      </c>
      <c r="W399" s="4">
        <v>17280</v>
      </c>
      <c r="X399" s="4">
        <v>259200</v>
      </c>
      <c r="Y399" s="11">
        <v>42096</v>
      </c>
      <c r="Z399" s="11">
        <v>44719</v>
      </c>
      <c r="AA399" s="2"/>
      <c r="AB399" s="63" t="s">
        <v>2748</v>
      </c>
      <c r="AC399" s="5" t="s">
        <v>3</v>
      </c>
      <c r="AD399" s="2"/>
      <c r="AE399" s="6"/>
      <c r="AF399" s="23"/>
      <c r="AG399" s="6"/>
      <c r="AH399" s="5" t="s">
        <v>3</v>
      </c>
      <c r="AI399" s="5" t="s">
        <v>332</v>
      </c>
      <c r="AJ399" s="5" t="s">
        <v>332</v>
      </c>
      <c r="AK399" s="16" t="s">
        <v>3</v>
      </c>
      <c r="AL399" s="65" t="s">
        <v>3842</v>
      </c>
      <c r="AM399" s="31" t="s">
        <v>559</v>
      </c>
    </row>
    <row r="400" spans="2:39" x14ac:dyDescent="0.25">
      <c r="B400" s="18" t="s">
        <v>622</v>
      </c>
      <c r="C400" s="44" t="s">
        <v>979</v>
      </c>
      <c r="D400" s="20" t="s">
        <v>2274</v>
      </c>
      <c r="E400" s="67" t="s">
        <v>3</v>
      </c>
      <c r="F400" s="51" t="s">
        <v>3</v>
      </c>
      <c r="G400" s="37" t="s">
        <v>3</v>
      </c>
      <c r="H400" s="68" t="s">
        <v>2715</v>
      </c>
      <c r="I400" s="62" t="s">
        <v>1358</v>
      </c>
      <c r="J400" s="61" t="s">
        <v>250</v>
      </c>
      <c r="K400" s="4">
        <v>3000000</v>
      </c>
      <c r="L400" s="39">
        <v>105.678</v>
      </c>
      <c r="M400" s="4">
        <v>3170340</v>
      </c>
      <c r="N400" s="4">
        <v>3000000</v>
      </c>
      <c r="O400" s="4">
        <v>3000000</v>
      </c>
      <c r="P400" s="4">
        <v>0</v>
      </c>
      <c r="Q400" s="4">
        <v>0</v>
      </c>
      <c r="R400" s="4">
        <v>0</v>
      </c>
      <c r="S400" s="4">
        <v>0</v>
      </c>
      <c r="T400" s="23">
        <v>3.16</v>
      </c>
      <c r="U400" s="23">
        <v>3.16</v>
      </c>
      <c r="V400" s="5" t="s">
        <v>3844</v>
      </c>
      <c r="W400" s="4">
        <v>6320</v>
      </c>
      <c r="X400" s="4">
        <v>94273</v>
      </c>
      <c r="Y400" s="11">
        <v>42429</v>
      </c>
      <c r="Z400" s="11">
        <v>45084</v>
      </c>
      <c r="AA400" s="2"/>
      <c r="AB400" s="63" t="s">
        <v>2748</v>
      </c>
      <c r="AC400" s="5" t="s">
        <v>3</v>
      </c>
      <c r="AD400" s="2"/>
      <c r="AE400" s="6"/>
      <c r="AF400" s="23"/>
      <c r="AG400" s="6"/>
      <c r="AH400" s="5" t="s">
        <v>3</v>
      </c>
      <c r="AI400" s="5" t="s">
        <v>332</v>
      </c>
      <c r="AJ400" s="5" t="s">
        <v>332</v>
      </c>
      <c r="AK400" s="16" t="s">
        <v>3</v>
      </c>
      <c r="AL400" s="65" t="s">
        <v>2715</v>
      </c>
      <c r="AM400" s="31" t="s">
        <v>559</v>
      </c>
    </row>
    <row r="401" spans="2:39" x14ac:dyDescent="0.25">
      <c r="B401" s="18" t="s">
        <v>1732</v>
      </c>
      <c r="C401" s="44" t="s">
        <v>623</v>
      </c>
      <c r="D401" s="20" t="s">
        <v>4267</v>
      </c>
      <c r="E401" s="67" t="s">
        <v>3</v>
      </c>
      <c r="F401" s="51" t="s">
        <v>3</v>
      </c>
      <c r="G401" s="37" t="s">
        <v>3</v>
      </c>
      <c r="H401" s="68" t="s">
        <v>2715</v>
      </c>
      <c r="I401" s="62" t="s">
        <v>1358</v>
      </c>
      <c r="J401" s="61" t="s">
        <v>250</v>
      </c>
      <c r="K401" s="4">
        <v>3500000</v>
      </c>
      <c r="L401" s="39">
        <v>107.306</v>
      </c>
      <c r="M401" s="4">
        <v>3755710</v>
      </c>
      <c r="N401" s="4">
        <v>3500000</v>
      </c>
      <c r="O401" s="4">
        <v>3500000</v>
      </c>
      <c r="P401" s="4">
        <v>0</v>
      </c>
      <c r="Q401" s="4">
        <v>0</v>
      </c>
      <c r="R401" s="4">
        <v>0</v>
      </c>
      <c r="S401" s="4">
        <v>0</v>
      </c>
      <c r="T401" s="23">
        <v>3.18</v>
      </c>
      <c r="U401" s="23">
        <v>3.18</v>
      </c>
      <c r="V401" s="5" t="s">
        <v>3844</v>
      </c>
      <c r="W401" s="4">
        <v>7420</v>
      </c>
      <c r="X401" s="4">
        <v>111300</v>
      </c>
      <c r="Y401" s="11">
        <v>42893</v>
      </c>
      <c r="Z401" s="11">
        <v>45450</v>
      </c>
      <c r="AA401" s="2"/>
      <c r="AB401" s="63" t="s">
        <v>2748</v>
      </c>
      <c r="AC401" s="5" t="s">
        <v>3</v>
      </c>
      <c r="AD401" s="2"/>
      <c r="AE401" s="6"/>
      <c r="AF401" s="23"/>
      <c r="AG401" s="6"/>
      <c r="AH401" s="5" t="s">
        <v>3</v>
      </c>
      <c r="AI401" s="5" t="s">
        <v>4267</v>
      </c>
      <c r="AJ401" s="5" t="s">
        <v>3</v>
      </c>
      <c r="AK401" s="16" t="s">
        <v>3</v>
      </c>
      <c r="AL401" s="65" t="s">
        <v>2715</v>
      </c>
      <c r="AM401" s="31" t="s">
        <v>559</v>
      </c>
    </row>
    <row r="402" spans="2:39" x14ac:dyDescent="0.25">
      <c r="B402" s="18" t="s">
        <v>2810</v>
      </c>
      <c r="C402" s="44" t="s">
        <v>3136</v>
      </c>
      <c r="D402" s="20" t="s">
        <v>4267</v>
      </c>
      <c r="E402" s="67" t="s">
        <v>3</v>
      </c>
      <c r="F402" s="51" t="s">
        <v>3</v>
      </c>
      <c r="G402" s="37" t="s">
        <v>3</v>
      </c>
      <c r="H402" s="68" t="s">
        <v>2715</v>
      </c>
      <c r="I402" s="62" t="s">
        <v>1358</v>
      </c>
      <c r="J402" s="61" t="s">
        <v>250</v>
      </c>
      <c r="K402" s="4">
        <v>7247835</v>
      </c>
      <c r="L402" s="39">
        <v>110</v>
      </c>
      <c r="M402" s="4">
        <v>7315000</v>
      </c>
      <c r="N402" s="4">
        <v>6650000</v>
      </c>
      <c r="O402" s="4">
        <v>7238134</v>
      </c>
      <c r="P402" s="4">
        <v>0</v>
      </c>
      <c r="Q402" s="4">
        <v>-9701</v>
      </c>
      <c r="R402" s="4">
        <v>0</v>
      </c>
      <c r="S402" s="4">
        <v>0</v>
      </c>
      <c r="T402" s="23">
        <v>3.86</v>
      </c>
      <c r="U402" s="23">
        <v>2.5459999999999998</v>
      </c>
      <c r="V402" s="5" t="s">
        <v>3844</v>
      </c>
      <c r="W402" s="4">
        <v>17113</v>
      </c>
      <c r="X402" s="4">
        <v>127632</v>
      </c>
      <c r="Y402" s="11">
        <v>44132</v>
      </c>
      <c r="Z402" s="11">
        <v>46911</v>
      </c>
      <c r="AA402" s="2"/>
      <c r="AB402" s="63" t="s">
        <v>2748</v>
      </c>
      <c r="AC402" s="5" t="s">
        <v>3</v>
      </c>
      <c r="AD402" s="2"/>
      <c r="AE402" s="9"/>
      <c r="AF402" s="23"/>
      <c r="AG402" s="6"/>
      <c r="AH402" s="5" t="s">
        <v>3</v>
      </c>
      <c r="AI402" s="5" t="s">
        <v>4267</v>
      </c>
      <c r="AJ402" s="5" t="s">
        <v>3</v>
      </c>
      <c r="AK402" s="16" t="s">
        <v>3</v>
      </c>
      <c r="AL402" s="65" t="s">
        <v>2715</v>
      </c>
      <c r="AM402" s="31" t="s">
        <v>559</v>
      </c>
    </row>
    <row r="403" spans="2:39" x14ac:dyDescent="0.25">
      <c r="B403" s="18" t="s">
        <v>3921</v>
      </c>
      <c r="C403" s="44" t="s">
        <v>4268</v>
      </c>
      <c r="D403" s="20" t="s">
        <v>4267</v>
      </c>
      <c r="E403" s="67" t="s">
        <v>3</v>
      </c>
      <c r="F403" s="51" t="s">
        <v>3</v>
      </c>
      <c r="G403" s="37" t="s">
        <v>3</v>
      </c>
      <c r="H403" s="68" t="s">
        <v>2715</v>
      </c>
      <c r="I403" s="62" t="s">
        <v>1358</v>
      </c>
      <c r="J403" s="61" t="s">
        <v>250</v>
      </c>
      <c r="K403" s="4">
        <v>5000000</v>
      </c>
      <c r="L403" s="39">
        <v>105.649</v>
      </c>
      <c r="M403" s="4">
        <v>5282450</v>
      </c>
      <c r="N403" s="4">
        <v>5000000</v>
      </c>
      <c r="O403" s="4">
        <v>5000000</v>
      </c>
      <c r="P403" s="4">
        <v>0</v>
      </c>
      <c r="Q403" s="4">
        <v>0</v>
      </c>
      <c r="R403" s="4">
        <v>0</v>
      </c>
      <c r="S403" s="4">
        <v>0</v>
      </c>
      <c r="T403" s="23">
        <v>2.6</v>
      </c>
      <c r="U403" s="23">
        <v>2.6</v>
      </c>
      <c r="V403" s="5" t="s">
        <v>3844</v>
      </c>
      <c r="W403" s="4">
        <v>8667</v>
      </c>
      <c r="X403" s="4">
        <v>64639</v>
      </c>
      <c r="Y403" s="11">
        <v>43990</v>
      </c>
      <c r="Z403" s="11">
        <v>46545</v>
      </c>
      <c r="AA403" s="2"/>
      <c r="AB403" s="63" t="s">
        <v>2748</v>
      </c>
      <c r="AC403" s="5" t="s">
        <v>3</v>
      </c>
      <c r="AD403" s="2"/>
      <c r="AE403" s="9"/>
      <c r="AF403" s="23"/>
      <c r="AG403" s="6"/>
      <c r="AH403" s="5" t="s">
        <v>3</v>
      </c>
      <c r="AI403" s="5" t="s">
        <v>4267</v>
      </c>
      <c r="AJ403" s="5" t="s">
        <v>3</v>
      </c>
      <c r="AK403" s="16" t="s">
        <v>3</v>
      </c>
      <c r="AL403" s="65" t="s">
        <v>2715</v>
      </c>
      <c r="AM403" s="31" t="s">
        <v>559</v>
      </c>
    </row>
    <row r="404" spans="2:39" x14ac:dyDescent="0.25">
      <c r="B404" s="18" t="s">
        <v>1403</v>
      </c>
      <c r="C404" s="44" t="s">
        <v>1733</v>
      </c>
      <c r="D404" s="20" t="s">
        <v>1404</v>
      </c>
      <c r="E404" s="67" t="s">
        <v>3</v>
      </c>
      <c r="F404" s="51" t="s">
        <v>3</v>
      </c>
      <c r="G404" s="37" t="s">
        <v>2715</v>
      </c>
      <c r="H404" s="68" t="s">
        <v>3842</v>
      </c>
      <c r="I404" s="62" t="s">
        <v>3310</v>
      </c>
      <c r="J404" s="61" t="s">
        <v>250</v>
      </c>
      <c r="K404" s="4">
        <v>4052520</v>
      </c>
      <c r="L404" s="39">
        <v>111.84699999999999</v>
      </c>
      <c r="M404" s="4">
        <v>4473880</v>
      </c>
      <c r="N404" s="4">
        <v>4000000</v>
      </c>
      <c r="O404" s="4">
        <v>4037531</v>
      </c>
      <c r="P404" s="4">
        <v>0</v>
      </c>
      <c r="Q404" s="4">
        <v>-8476</v>
      </c>
      <c r="R404" s="4">
        <v>0</v>
      </c>
      <c r="S404" s="4">
        <v>0</v>
      </c>
      <c r="T404" s="23">
        <v>4.1500000000000004</v>
      </c>
      <c r="U404" s="23">
        <v>3.895</v>
      </c>
      <c r="V404" s="5" t="s">
        <v>3312</v>
      </c>
      <c r="W404" s="4">
        <v>21211</v>
      </c>
      <c r="X404" s="4">
        <v>166000</v>
      </c>
      <c r="Y404" s="11">
        <v>43529</v>
      </c>
      <c r="Z404" s="11">
        <v>45792</v>
      </c>
      <c r="AA404" s="2"/>
      <c r="AB404" s="63" t="s">
        <v>3840</v>
      </c>
      <c r="AC404" s="5" t="s">
        <v>4198</v>
      </c>
      <c r="AD404" s="2"/>
      <c r="AE404" s="11">
        <v>45703</v>
      </c>
      <c r="AF404" s="23">
        <v>100</v>
      </c>
      <c r="AG404" s="11">
        <v>45703</v>
      </c>
      <c r="AH404" s="5" t="s">
        <v>3368</v>
      </c>
      <c r="AI404" s="5" t="s">
        <v>1404</v>
      </c>
      <c r="AJ404" s="5" t="s">
        <v>3</v>
      </c>
      <c r="AK404" s="16" t="s">
        <v>3</v>
      </c>
      <c r="AL404" s="65" t="s">
        <v>3842</v>
      </c>
      <c r="AM404" s="31" t="s">
        <v>1651</v>
      </c>
    </row>
    <row r="405" spans="2:39" x14ac:dyDescent="0.25">
      <c r="B405" s="18" t="s">
        <v>2508</v>
      </c>
      <c r="C405" s="44" t="s">
        <v>2811</v>
      </c>
      <c r="D405" s="20" t="s">
        <v>2275</v>
      </c>
      <c r="E405" s="67" t="s">
        <v>3</v>
      </c>
      <c r="F405" s="51" t="s">
        <v>3</v>
      </c>
      <c r="G405" s="37" t="s">
        <v>2715</v>
      </c>
      <c r="H405" s="68" t="s">
        <v>2715</v>
      </c>
      <c r="I405" s="62" t="s">
        <v>252</v>
      </c>
      <c r="J405" s="61" t="s">
        <v>250</v>
      </c>
      <c r="K405" s="4">
        <v>4997900</v>
      </c>
      <c r="L405" s="39">
        <v>107.226</v>
      </c>
      <c r="M405" s="4">
        <v>5361300</v>
      </c>
      <c r="N405" s="4">
        <v>5000000</v>
      </c>
      <c r="O405" s="4">
        <v>4998973</v>
      </c>
      <c r="P405" s="4">
        <v>0</v>
      </c>
      <c r="Q405" s="4">
        <v>409</v>
      </c>
      <c r="R405" s="4">
        <v>0</v>
      </c>
      <c r="S405" s="4">
        <v>0</v>
      </c>
      <c r="T405" s="23">
        <v>3.375</v>
      </c>
      <c r="U405" s="23">
        <v>3.3839999999999999</v>
      </c>
      <c r="V405" s="5" t="s">
        <v>3312</v>
      </c>
      <c r="W405" s="4">
        <v>21563</v>
      </c>
      <c r="X405" s="4">
        <v>168750</v>
      </c>
      <c r="Y405" s="11">
        <v>43223</v>
      </c>
      <c r="Z405" s="11">
        <v>45061</v>
      </c>
      <c r="AA405" s="2"/>
      <c r="AB405" s="63" t="s">
        <v>3840</v>
      </c>
      <c r="AC405" s="5" t="s">
        <v>4198</v>
      </c>
      <c r="AD405" s="2"/>
      <c r="AE405" s="11">
        <v>45031</v>
      </c>
      <c r="AF405" s="23">
        <v>100</v>
      </c>
      <c r="AG405" s="9"/>
      <c r="AH405" s="5" t="s">
        <v>76</v>
      </c>
      <c r="AI405" s="5" t="s">
        <v>2275</v>
      </c>
      <c r="AJ405" s="5" t="s">
        <v>3</v>
      </c>
      <c r="AK405" s="16" t="s">
        <v>3</v>
      </c>
      <c r="AL405" s="65" t="s">
        <v>3842</v>
      </c>
      <c r="AM405" s="31" t="s">
        <v>898</v>
      </c>
    </row>
    <row r="406" spans="2:39" x14ac:dyDescent="0.25">
      <c r="B406" s="18" t="s">
        <v>3609</v>
      </c>
      <c r="C406" s="44" t="s">
        <v>2276</v>
      </c>
      <c r="D406" s="20" t="s">
        <v>1405</v>
      </c>
      <c r="E406" s="67" t="s">
        <v>3</v>
      </c>
      <c r="F406" s="51" t="s">
        <v>3</v>
      </c>
      <c r="G406" s="37" t="s">
        <v>2715</v>
      </c>
      <c r="H406" s="68" t="s">
        <v>3842</v>
      </c>
      <c r="I406" s="62" t="s">
        <v>10</v>
      </c>
      <c r="J406" s="61" t="s">
        <v>250</v>
      </c>
      <c r="K406" s="4">
        <v>14973000</v>
      </c>
      <c r="L406" s="39">
        <v>103.622</v>
      </c>
      <c r="M406" s="4">
        <v>15543300</v>
      </c>
      <c r="N406" s="4">
        <v>15000000</v>
      </c>
      <c r="O406" s="4">
        <v>14975130</v>
      </c>
      <c r="P406" s="4">
        <v>0</v>
      </c>
      <c r="Q406" s="4">
        <v>2130</v>
      </c>
      <c r="R406" s="4">
        <v>0</v>
      </c>
      <c r="S406" s="4">
        <v>0</v>
      </c>
      <c r="T406" s="23">
        <v>1.75</v>
      </c>
      <c r="U406" s="23">
        <v>1.7829999999999999</v>
      </c>
      <c r="V406" s="5" t="s">
        <v>3843</v>
      </c>
      <c r="W406" s="4">
        <v>119583</v>
      </c>
      <c r="X406" s="4">
        <v>0</v>
      </c>
      <c r="Y406" s="11">
        <v>44026</v>
      </c>
      <c r="Z406" s="11">
        <v>46113</v>
      </c>
      <c r="AA406" s="2"/>
      <c r="AB406" s="63" t="s">
        <v>3840</v>
      </c>
      <c r="AC406" s="5" t="s">
        <v>4198</v>
      </c>
      <c r="AD406" s="2"/>
      <c r="AE406" s="11">
        <v>46082</v>
      </c>
      <c r="AF406" s="23">
        <v>100</v>
      </c>
      <c r="AG406" s="6"/>
      <c r="AH406" s="5" t="s">
        <v>2812</v>
      </c>
      <c r="AI406" s="5" t="s">
        <v>1405</v>
      </c>
      <c r="AJ406" s="5" t="s">
        <v>3</v>
      </c>
      <c r="AK406" s="16" t="s">
        <v>3</v>
      </c>
      <c r="AL406" s="65" t="s">
        <v>3842</v>
      </c>
      <c r="AM406" s="31" t="s">
        <v>1176</v>
      </c>
    </row>
    <row r="407" spans="2:39" x14ac:dyDescent="0.25">
      <c r="B407" s="18" t="s">
        <v>624</v>
      </c>
      <c r="C407" s="44" t="s">
        <v>3369</v>
      </c>
      <c r="D407" s="20" t="s">
        <v>1206</v>
      </c>
      <c r="E407" s="67" t="s">
        <v>3</v>
      </c>
      <c r="F407" s="51" t="s">
        <v>3</v>
      </c>
      <c r="G407" s="37" t="s">
        <v>2715</v>
      </c>
      <c r="H407" s="68" t="s">
        <v>3842</v>
      </c>
      <c r="I407" s="62" t="s">
        <v>3310</v>
      </c>
      <c r="J407" s="61" t="s">
        <v>250</v>
      </c>
      <c r="K407" s="4">
        <v>10351700</v>
      </c>
      <c r="L407" s="39">
        <v>106.669</v>
      </c>
      <c r="M407" s="4">
        <v>10666900</v>
      </c>
      <c r="N407" s="4">
        <v>10000000</v>
      </c>
      <c r="O407" s="4">
        <v>10311921</v>
      </c>
      <c r="P407" s="4">
        <v>0</v>
      </c>
      <c r="Q407" s="4">
        <v>-39779</v>
      </c>
      <c r="R407" s="4">
        <v>0</v>
      </c>
      <c r="S407" s="4">
        <v>0</v>
      </c>
      <c r="T407" s="23">
        <v>3.15</v>
      </c>
      <c r="U407" s="23">
        <v>2.613</v>
      </c>
      <c r="V407" s="5" t="s">
        <v>248</v>
      </c>
      <c r="W407" s="4">
        <v>119000</v>
      </c>
      <c r="X407" s="4">
        <v>315000</v>
      </c>
      <c r="Y407" s="11">
        <v>43867</v>
      </c>
      <c r="Z407" s="11">
        <v>46614</v>
      </c>
      <c r="AA407" s="2"/>
      <c r="AB407" s="63" t="s">
        <v>3840</v>
      </c>
      <c r="AC407" s="5" t="s">
        <v>4198</v>
      </c>
      <c r="AD407" s="2"/>
      <c r="AE407" s="11">
        <v>46522</v>
      </c>
      <c r="AF407" s="23">
        <v>100</v>
      </c>
      <c r="AG407" s="10">
        <v>46522</v>
      </c>
      <c r="AH407" s="5" t="s">
        <v>3137</v>
      </c>
      <c r="AI407" s="5" t="s">
        <v>2277</v>
      </c>
      <c r="AJ407" s="5" t="s">
        <v>333</v>
      </c>
      <c r="AK407" s="16" t="s">
        <v>3</v>
      </c>
      <c r="AL407" s="65" t="s">
        <v>3842</v>
      </c>
      <c r="AM407" s="31" t="s">
        <v>1651</v>
      </c>
    </row>
    <row r="408" spans="2:39" x14ac:dyDescent="0.25">
      <c r="B408" s="18" t="s">
        <v>1734</v>
      </c>
      <c r="C408" s="44" t="s">
        <v>2813</v>
      </c>
      <c r="D408" s="20" t="s">
        <v>3922</v>
      </c>
      <c r="E408" s="67" t="s">
        <v>3</v>
      </c>
      <c r="F408" s="51" t="s">
        <v>3</v>
      </c>
      <c r="G408" s="37" t="s">
        <v>2715</v>
      </c>
      <c r="H408" s="68" t="s">
        <v>3842</v>
      </c>
      <c r="I408" s="62" t="s">
        <v>1157</v>
      </c>
      <c r="J408" s="61" t="s">
        <v>250</v>
      </c>
      <c r="K408" s="4">
        <v>6917950</v>
      </c>
      <c r="L408" s="39">
        <v>104.453</v>
      </c>
      <c r="M408" s="4">
        <v>7311710</v>
      </c>
      <c r="N408" s="4">
        <v>7000000</v>
      </c>
      <c r="O408" s="4">
        <v>6958940</v>
      </c>
      <c r="P408" s="4">
        <v>0</v>
      </c>
      <c r="Q408" s="4">
        <v>19500</v>
      </c>
      <c r="R408" s="4">
        <v>0</v>
      </c>
      <c r="S408" s="4">
        <v>0</v>
      </c>
      <c r="T408" s="23">
        <v>3.15</v>
      </c>
      <c r="U408" s="23">
        <v>3.4569999999999999</v>
      </c>
      <c r="V408" s="5" t="s">
        <v>3844</v>
      </c>
      <c r="W408" s="4">
        <v>18375</v>
      </c>
      <c r="X408" s="4">
        <v>220500</v>
      </c>
      <c r="Y408" s="11">
        <v>43553</v>
      </c>
      <c r="Z408" s="11">
        <v>44896</v>
      </c>
      <c r="AA408" s="2"/>
      <c r="AB408" s="63" t="s">
        <v>3840</v>
      </c>
      <c r="AC408" s="5" t="s">
        <v>4198</v>
      </c>
      <c r="AD408" s="2"/>
      <c r="AE408" s="10">
        <v>44805</v>
      </c>
      <c r="AF408" s="23">
        <v>100</v>
      </c>
      <c r="AG408" s="10">
        <v>44805</v>
      </c>
      <c r="AH408" s="5" t="s">
        <v>3923</v>
      </c>
      <c r="AI408" s="5" t="s">
        <v>3370</v>
      </c>
      <c r="AJ408" s="5" t="s">
        <v>3370</v>
      </c>
      <c r="AK408" s="16" t="s">
        <v>3</v>
      </c>
      <c r="AL408" s="65" t="s">
        <v>3842</v>
      </c>
      <c r="AM408" s="31" t="s">
        <v>926</v>
      </c>
    </row>
    <row r="409" spans="2:39" x14ac:dyDescent="0.25">
      <c r="B409" s="18" t="s">
        <v>2814</v>
      </c>
      <c r="C409" s="44" t="s">
        <v>2509</v>
      </c>
      <c r="D409" s="20" t="s">
        <v>3370</v>
      </c>
      <c r="E409" s="67" t="s">
        <v>3</v>
      </c>
      <c r="F409" s="51" t="s">
        <v>3</v>
      </c>
      <c r="G409" s="37" t="s">
        <v>2715</v>
      </c>
      <c r="H409" s="68" t="s">
        <v>3842</v>
      </c>
      <c r="I409" s="62" t="s">
        <v>1157</v>
      </c>
      <c r="J409" s="61" t="s">
        <v>250</v>
      </c>
      <c r="K409" s="4">
        <v>4923200</v>
      </c>
      <c r="L409" s="39">
        <v>110.732</v>
      </c>
      <c r="M409" s="4">
        <v>5536600</v>
      </c>
      <c r="N409" s="4">
        <v>5000000</v>
      </c>
      <c r="O409" s="4">
        <v>4948604</v>
      </c>
      <c r="P409" s="4">
        <v>0</v>
      </c>
      <c r="Q409" s="4">
        <v>12425</v>
      </c>
      <c r="R409" s="4">
        <v>0</v>
      </c>
      <c r="S409" s="4">
        <v>0</v>
      </c>
      <c r="T409" s="23">
        <v>3.85</v>
      </c>
      <c r="U409" s="23">
        <v>4.149</v>
      </c>
      <c r="V409" s="5" t="s">
        <v>3843</v>
      </c>
      <c r="W409" s="4">
        <v>48125</v>
      </c>
      <c r="X409" s="4">
        <v>192500</v>
      </c>
      <c r="Y409" s="11">
        <v>43438</v>
      </c>
      <c r="Z409" s="11">
        <v>45566</v>
      </c>
      <c r="AA409" s="2"/>
      <c r="AB409" s="63" t="s">
        <v>3840</v>
      </c>
      <c r="AC409" s="5" t="s">
        <v>4198</v>
      </c>
      <c r="AD409" s="2"/>
      <c r="AE409" s="11">
        <v>45474</v>
      </c>
      <c r="AF409" s="23">
        <v>100</v>
      </c>
      <c r="AG409" s="9"/>
      <c r="AH409" s="5" t="s">
        <v>3923</v>
      </c>
      <c r="AI409" s="5" t="s">
        <v>3370</v>
      </c>
      <c r="AJ409" s="5" t="s">
        <v>3</v>
      </c>
      <c r="AK409" s="16" t="s">
        <v>3</v>
      </c>
      <c r="AL409" s="65" t="s">
        <v>3842</v>
      </c>
      <c r="AM409" s="31" t="s">
        <v>926</v>
      </c>
    </row>
    <row r="410" spans="2:39" x14ac:dyDescent="0.25">
      <c r="B410" s="18" t="s">
        <v>3924</v>
      </c>
      <c r="C410" s="44" t="s">
        <v>334</v>
      </c>
      <c r="D410" s="20" t="s">
        <v>4269</v>
      </c>
      <c r="E410" s="67" t="s">
        <v>3</v>
      </c>
      <c r="F410" s="51" t="s">
        <v>3</v>
      </c>
      <c r="G410" s="37" t="s">
        <v>3</v>
      </c>
      <c r="H410" s="68" t="s">
        <v>3842</v>
      </c>
      <c r="I410" s="62" t="s">
        <v>10</v>
      </c>
      <c r="J410" s="61" t="s">
        <v>250</v>
      </c>
      <c r="K410" s="4">
        <v>12000000</v>
      </c>
      <c r="L410" s="39">
        <v>107.569</v>
      </c>
      <c r="M410" s="4">
        <v>12908280</v>
      </c>
      <c r="N410" s="4">
        <v>12000000</v>
      </c>
      <c r="O410" s="4">
        <v>12000000</v>
      </c>
      <c r="P410" s="4">
        <v>0</v>
      </c>
      <c r="Q410" s="4">
        <v>0</v>
      </c>
      <c r="R410" s="4">
        <v>0</v>
      </c>
      <c r="S410" s="4">
        <v>0</v>
      </c>
      <c r="T410" s="23">
        <v>2.99</v>
      </c>
      <c r="U410" s="23">
        <v>2.9910000000000001</v>
      </c>
      <c r="V410" s="5" t="s">
        <v>3843</v>
      </c>
      <c r="W410" s="4">
        <v>72757</v>
      </c>
      <c r="X410" s="4">
        <v>306973</v>
      </c>
      <c r="Y410" s="11">
        <v>43809</v>
      </c>
      <c r="Z410" s="11">
        <v>46366</v>
      </c>
      <c r="AA410" s="2"/>
      <c r="AB410" s="63" t="s">
        <v>2748</v>
      </c>
      <c r="AC410" s="5" t="s">
        <v>3</v>
      </c>
      <c r="AD410" s="2"/>
      <c r="AE410" s="9"/>
      <c r="AF410" s="23"/>
      <c r="AG410" s="9"/>
      <c r="AH410" s="5" t="s">
        <v>625</v>
      </c>
      <c r="AI410" s="5" t="s">
        <v>4269</v>
      </c>
      <c r="AJ410" s="5" t="s">
        <v>3</v>
      </c>
      <c r="AK410" s="16" t="s">
        <v>3</v>
      </c>
      <c r="AL410" s="65" t="s">
        <v>2715</v>
      </c>
      <c r="AM410" s="31" t="s">
        <v>1176</v>
      </c>
    </row>
    <row r="411" spans="2:39" x14ac:dyDescent="0.25">
      <c r="B411" s="18" t="s">
        <v>626</v>
      </c>
      <c r="C411" s="44" t="s">
        <v>2278</v>
      </c>
      <c r="D411" s="20" t="s">
        <v>1207</v>
      </c>
      <c r="E411" s="67" t="s">
        <v>3</v>
      </c>
      <c r="F411" s="51" t="s">
        <v>3</v>
      </c>
      <c r="G411" s="37" t="s">
        <v>2715</v>
      </c>
      <c r="H411" s="68" t="s">
        <v>3842</v>
      </c>
      <c r="I411" s="62" t="s">
        <v>10</v>
      </c>
      <c r="J411" s="61" t="s">
        <v>250</v>
      </c>
      <c r="K411" s="4">
        <v>4598250</v>
      </c>
      <c r="L411" s="39">
        <v>111.346</v>
      </c>
      <c r="M411" s="4">
        <v>5567300</v>
      </c>
      <c r="N411" s="4">
        <v>5000000</v>
      </c>
      <c r="O411" s="4">
        <v>4692344</v>
      </c>
      <c r="P411" s="4">
        <v>0</v>
      </c>
      <c r="Q411" s="4">
        <v>46054</v>
      </c>
      <c r="R411" s="4">
        <v>0</v>
      </c>
      <c r="S411" s="4">
        <v>0</v>
      </c>
      <c r="T411" s="23">
        <v>3.2</v>
      </c>
      <c r="U411" s="23">
        <v>4.4240000000000004</v>
      </c>
      <c r="V411" s="5" t="s">
        <v>3843</v>
      </c>
      <c r="W411" s="4">
        <v>40000</v>
      </c>
      <c r="X411" s="4">
        <v>160000</v>
      </c>
      <c r="Y411" s="11">
        <v>43432</v>
      </c>
      <c r="Z411" s="11">
        <v>46296</v>
      </c>
      <c r="AA411" s="2"/>
      <c r="AB411" s="63" t="s">
        <v>3840</v>
      </c>
      <c r="AC411" s="5" t="s">
        <v>4198</v>
      </c>
      <c r="AD411" s="2"/>
      <c r="AE411" s="10">
        <v>46204</v>
      </c>
      <c r="AF411" s="23">
        <v>100</v>
      </c>
      <c r="AG411" s="6"/>
      <c r="AH411" s="5" t="s">
        <v>2815</v>
      </c>
      <c r="AI411" s="5" t="s">
        <v>1207</v>
      </c>
      <c r="AJ411" s="5" t="s">
        <v>3</v>
      </c>
      <c r="AK411" s="16" t="s">
        <v>3</v>
      </c>
      <c r="AL411" s="65" t="s">
        <v>3842</v>
      </c>
      <c r="AM411" s="31" t="s">
        <v>1176</v>
      </c>
    </row>
    <row r="412" spans="2:39" x14ac:dyDescent="0.25">
      <c r="B412" s="18" t="s">
        <v>1735</v>
      </c>
      <c r="C412" s="44" t="s">
        <v>2510</v>
      </c>
      <c r="D412" s="20" t="s">
        <v>1406</v>
      </c>
      <c r="E412" s="67" t="s">
        <v>3</v>
      </c>
      <c r="F412" s="51" t="s">
        <v>3</v>
      </c>
      <c r="G412" s="37" t="s">
        <v>3</v>
      </c>
      <c r="H412" s="68" t="s">
        <v>2715</v>
      </c>
      <c r="I412" s="62" t="s">
        <v>3538</v>
      </c>
      <c r="J412" s="61" t="s">
        <v>250</v>
      </c>
      <c r="K412" s="4">
        <v>6996920</v>
      </c>
      <c r="L412" s="39">
        <v>104.578</v>
      </c>
      <c r="M412" s="4">
        <v>7320460</v>
      </c>
      <c r="N412" s="4">
        <v>7000000</v>
      </c>
      <c r="O412" s="4">
        <v>6999247</v>
      </c>
      <c r="P412" s="4">
        <v>0</v>
      </c>
      <c r="Q412" s="4">
        <v>459</v>
      </c>
      <c r="R412" s="4">
        <v>0</v>
      </c>
      <c r="S412" s="4">
        <v>0</v>
      </c>
      <c r="T412" s="23">
        <v>3.1</v>
      </c>
      <c r="U412" s="23">
        <v>3.1070000000000002</v>
      </c>
      <c r="V412" s="5" t="s">
        <v>1982</v>
      </c>
      <c r="W412" s="4">
        <v>91622</v>
      </c>
      <c r="X412" s="4">
        <v>217000</v>
      </c>
      <c r="Y412" s="11">
        <v>42207</v>
      </c>
      <c r="Z412" s="11">
        <v>44771</v>
      </c>
      <c r="AA412" s="2"/>
      <c r="AB412" s="63" t="s">
        <v>3840</v>
      </c>
      <c r="AC412" s="5" t="s">
        <v>4198</v>
      </c>
      <c r="AD412" s="2"/>
      <c r="AE412" s="9"/>
      <c r="AF412" s="23"/>
      <c r="AG412" s="9"/>
      <c r="AH412" s="5" t="s">
        <v>77</v>
      </c>
      <c r="AI412" s="5" t="s">
        <v>1406</v>
      </c>
      <c r="AJ412" s="5" t="s">
        <v>3</v>
      </c>
      <c r="AK412" s="16" t="s">
        <v>3</v>
      </c>
      <c r="AL412" s="65" t="s">
        <v>3842</v>
      </c>
      <c r="AM412" s="31" t="s">
        <v>1161</v>
      </c>
    </row>
    <row r="413" spans="2:39" x14ac:dyDescent="0.25">
      <c r="B413" s="18" t="s">
        <v>2816</v>
      </c>
      <c r="C413" s="44" t="s">
        <v>2279</v>
      </c>
      <c r="D413" s="20" t="s">
        <v>3925</v>
      </c>
      <c r="E413" s="67" t="s">
        <v>3</v>
      </c>
      <c r="F413" s="51" t="s">
        <v>3</v>
      </c>
      <c r="G413" s="37" t="s">
        <v>3842</v>
      </c>
      <c r="H413" s="68" t="s">
        <v>2715</v>
      </c>
      <c r="I413" s="62" t="s">
        <v>3538</v>
      </c>
      <c r="J413" s="61" t="s">
        <v>250</v>
      </c>
      <c r="K413" s="4">
        <v>5044350</v>
      </c>
      <c r="L413" s="39">
        <v>107.852</v>
      </c>
      <c r="M413" s="4">
        <v>5392600</v>
      </c>
      <c r="N413" s="4">
        <v>5000000</v>
      </c>
      <c r="O413" s="4">
        <v>5029347</v>
      </c>
      <c r="P413" s="4">
        <v>0</v>
      </c>
      <c r="Q413" s="4">
        <v>-8660</v>
      </c>
      <c r="R413" s="4">
        <v>0</v>
      </c>
      <c r="S413" s="4">
        <v>0</v>
      </c>
      <c r="T413" s="23">
        <v>2.875</v>
      </c>
      <c r="U413" s="23">
        <v>2.6819999999999999</v>
      </c>
      <c r="V413" s="5" t="s">
        <v>3312</v>
      </c>
      <c r="W413" s="4">
        <v>19965</v>
      </c>
      <c r="X413" s="4">
        <v>143750</v>
      </c>
      <c r="Y413" s="11">
        <v>43551</v>
      </c>
      <c r="Z413" s="11">
        <v>45423</v>
      </c>
      <c r="AA413" s="2"/>
      <c r="AB413" s="63" t="s">
        <v>3840</v>
      </c>
      <c r="AC413" s="5" t="s">
        <v>4198</v>
      </c>
      <c r="AD413" s="2"/>
      <c r="AE413" s="11">
        <v>45362</v>
      </c>
      <c r="AF413" s="23">
        <v>100</v>
      </c>
      <c r="AG413" s="10">
        <v>45362</v>
      </c>
      <c r="AH413" s="5" t="s">
        <v>77</v>
      </c>
      <c r="AI413" s="5" t="s">
        <v>1406</v>
      </c>
      <c r="AJ413" s="5" t="s">
        <v>1208</v>
      </c>
      <c r="AK413" s="16" t="s">
        <v>3</v>
      </c>
      <c r="AL413" s="65" t="s">
        <v>3842</v>
      </c>
      <c r="AM413" s="31" t="s">
        <v>1161</v>
      </c>
    </row>
    <row r="414" spans="2:39" x14ac:dyDescent="0.25">
      <c r="B414" s="18" t="s">
        <v>335</v>
      </c>
      <c r="C414" s="44" t="s">
        <v>1209</v>
      </c>
      <c r="D414" s="20" t="s">
        <v>3925</v>
      </c>
      <c r="E414" s="67" t="s">
        <v>3</v>
      </c>
      <c r="F414" s="51" t="s">
        <v>3</v>
      </c>
      <c r="G414" s="37" t="s">
        <v>2715</v>
      </c>
      <c r="H414" s="68" t="s">
        <v>2715</v>
      </c>
      <c r="I414" s="62" t="s">
        <v>3538</v>
      </c>
      <c r="J414" s="61" t="s">
        <v>250</v>
      </c>
      <c r="K414" s="4">
        <v>9481475</v>
      </c>
      <c r="L414" s="39">
        <v>116.023</v>
      </c>
      <c r="M414" s="4">
        <v>11022185</v>
      </c>
      <c r="N414" s="4">
        <v>9500000</v>
      </c>
      <c r="O414" s="4">
        <v>9483278</v>
      </c>
      <c r="P414" s="4">
        <v>0</v>
      </c>
      <c r="Q414" s="4">
        <v>1803</v>
      </c>
      <c r="R414" s="4">
        <v>0</v>
      </c>
      <c r="S414" s="4">
        <v>0</v>
      </c>
      <c r="T414" s="23">
        <v>3.75</v>
      </c>
      <c r="U414" s="23">
        <v>3.782</v>
      </c>
      <c r="V414" s="5" t="s">
        <v>12</v>
      </c>
      <c r="W414" s="4">
        <v>95000</v>
      </c>
      <c r="X414" s="4">
        <v>178125</v>
      </c>
      <c r="Y414" s="11">
        <v>43910</v>
      </c>
      <c r="Z414" s="11">
        <v>46471</v>
      </c>
      <c r="AA414" s="2"/>
      <c r="AB414" s="63" t="s">
        <v>3840</v>
      </c>
      <c r="AC414" s="5" t="s">
        <v>4198</v>
      </c>
      <c r="AD414" s="2"/>
      <c r="AE414" s="11">
        <v>46412</v>
      </c>
      <c r="AF414" s="23">
        <v>100</v>
      </c>
      <c r="AG414" s="6"/>
      <c r="AH414" s="5" t="s">
        <v>77</v>
      </c>
      <c r="AI414" s="5" t="s">
        <v>1406</v>
      </c>
      <c r="AJ414" s="5" t="s">
        <v>1208</v>
      </c>
      <c r="AK414" s="16" t="s">
        <v>3</v>
      </c>
      <c r="AL414" s="65" t="s">
        <v>3842</v>
      </c>
      <c r="AM414" s="31" t="s">
        <v>1161</v>
      </c>
    </row>
    <row r="415" spans="2:39" x14ac:dyDescent="0.25">
      <c r="B415" s="18" t="s">
        <v>1736</v>
      </c>
      <c r="C415" s="44" t="s">
        <v>1407</v>
      </c>
      <c r="D415" s="20" t="s">
        <v>78</v>
      </c>
      <c r="E415" s="67" t="s">
        <v>3</v>
      </c>
      <c r="F415" s="51" t="s">
        <v>3</v>
      </c>
      <c r="G415" s="37" t="s">
        <v>2715</v>
      </c>
      <c r="H415" s="68" t="s">
        <v>3842</v>
      </c>
      <c r="I415" s="62" t="s">
        <v>3310</v>
      </c>
      <c r="J415" s="61" t="s">
        <v>250</v>
      </c>
      <c r="K415" s="4">
        <v>4959900</v>
      </c>
      <c r="L415" s="39">
        <v>113.566</v>
      </c>
      <c r="M415" s="4">
        <v>5678300</v>
      </c>
      <c r="N415" s="4">
        <v>5000000</v>
      </c>
      <c r="O415" s="4">
        <v>4970946</v>
      </c>
      <c r="P415" s="4">
        <v>0</v>
      </c>
      <c r="Q415" s="4">
        <v>5267</v>
      </c>
      <c r="R415" s="4">
        <v>0</v>
      </c>
      <c r="S415" s="4">
        <v>0</v>
      </c>
      <c r="T415" s="23">
        <v>3.75</v>
      </c>
      <c r="U415" s="23">
        <v>3.8809999999999998</v>
      </c>
      <c r="V415" s="5" t="s">
        <v>3844</v>
      </c>
      <c r="W415" s="4">
        <v>15625</v>
      </c>
      <c r="X415" s="4">
        <v>187500</v>
      </c>
      <c r="Y415" s="11">
        <v>43417</v>
      </c>
      <c r="Z415" s="11">
        <v>45992</v>
      </c>
      <c r="AA415" s="2"/>
      <c r="AB415" s="63" t="s">
        <v>3840</v>
      </c>
      <c r="AC415" s="5" t="s">
        <v>4198</v>
      </c>
      <c r="AD415" s="2"/>
      <c r="AE415" s="10">
        <v>45901</v>
      </c>
      <c r="AF415" s="23">
        <v>100</v>
      </c>
      <c r="AG415" s="6"/>
      <c r="AH415" s="5" t="s">
        <v>2051</v>
      </c>
      <c r="AI415" s="5" t="s">
        <v>78</v>
      </c>
      <c r="AJ415" s="5" t="s">
        <v>3</v>
      </c>
      <c r="AK415" s="16" t="s">
        <v>3</v>
      </c>
      <c r="AL415" s="65" t="s">
        <v>3842</v>
      </c>
      <c r="AM415" s="31" t="s">
        <v>1651</v>
      </c>
    </row>
    <row r="416" spans="2:39" x14ac:dyDescent="0.25">
      <c r="B416" s="18" t="s">
        <v>2817</v>
      </c>
      <c r="C416" s="44" t="s">
        <v>2818</v>
      </c>
      <c r="D416" s="20" t="s">
        <v>78</v>
      </c>
      <c r="E416" s="67" t="s">
        <v>3</v>
      </c>
      <c r="F416" s="51" t="s">
        <v>3</v>
      </c>
      <c r="G416" s="37" t="s">
        <v>2715</v>
      </c>
      <c r="H416" s="68" t="s">
        <v>3842</v>
      </c>
      <c r="I416" s="62" t="s">
        <v>3310</v>
      </c>
      <c r="J416" s="61" t="s">
        <v>250</v>
      </c>
      <c r="K416" s="4">
        <v>2498850</v>
      </c>
      <c r="L416" s="39">
        <v>107.792</v>
      </c>
      <c r="M416" s="4">
        <v>2694800</v>
      </c>
      <c r="N416" s="4">
        <v>2500000</v>
      </c>
      <c r="O416" s="4">
        <v>2499414</v>
      </c>
      <c r="P416" s="4">
        <v>0</v>
      </c>
      <c r="Q416" s="4">
        <v>202</v>
      </c>
      <c r="R416" s="4">
        <v>0</v>
      </c>
      <c r="S416" s="4">
        <v>0</v>
      </c>
      <c r="T416" s="23">
        <v>3.45</v>
      </c>
      <c r="U416" s="23">
        <v>3.4590000000000001</v>
      </c>
      <c r="V416" s="5" t="s">
        <v>12</v>
      </c>
      <c r="W416" s="4">
        <v>23958</v>
      </c>
      <c r="X416" s="4">
        <v>86250</v>
      </c>
      <c r="Y416" s="11">
        <v>43318</v>
      </c>
      <c r="Z416" s="11">
        <v>45190</v>
      </c>
      <c r="AA416" s="2"/>
      <c r="AB416" s="63" t="s">
        <v>3840</v>
      </c>
      <c r="AC416" s="5" t="s">
        <v>4198</v>
      </c>
      <c r="AD416" s="2"/>
      <c r="AE416" s="10">
        <v>45159</v>
      </c>
      <c r="AF416" s="23">
        <v>100</v>
      </c>
      <c r="AG416" s="6"/>
      <c r="AH416" s="5" t="s">
        <v>2051</v>
      </c>
      <c r="AI416" s="5" t="s">
        <v>78</v>
      </c>
      <c r="AJ416" s="5" t="s">
        <v>3</v>
      </c>
      <c r="AK416" s="16" t="s">
        <v>3</v>
      </c>
      <c r="AL416" s="65" t="s">
        <v>3842</v>
      </c>
      <c r="AM416" s="31" t="s">
        <v>1651</v>
      </c>
    </row>
    <row r="417" spans="2:39" x14ac:dyDescent="0.25">
      <c r="B417" s="18" t="s">
        <v>3926</v>
      </c>
      <c r="C417" s="44" t="s">
        <v>4270</v>
      </c>
      <c r="D417" s="20" t="s">
        <v>1408</v>
      </c>
      <c r="E417" s="67" t="s">
        <v>3</v>
      </c>
      <c r="F417" s="51" t="s">
        <v>3</v>
      </c>
      <c r="G417" s="37" t="s">
        <v>3</v>
      </c>
      <c r="H417" s="68" t="s">
        <v>2715</v>
      </c>
      <c r="I417" s="62" t="s">
        <v>252</v>
      </c>
      <c r="J417" s="61" t="s">
        <v>250</v>
      </c>
      <c r="K417" s="4">
        <v>2996070</v>
      </c>
      <c r="L417" s="39">
        <v>102.39100000000001</v>
      </c>
      <c r="M417" s="4">
        <v>3071730</v>
      </c>
      <c r="N417" s="4">
        <v>3000000</v>
      </c>
      <c r="O417" s="4">
        <v>2999115</v>
      </c>
      <c r="P417" s="4">
        <v>0</v>
      </c>
      <c r="Q417" s="4">
        <v>804</v>
      </c>
      <c r="R417" s="4">
        <v>0</v>
      </c>
      <c r="S417" s="4">
        <v>0</v>
      </c>
      <c r="T417" s="23">
        <v>2.5</v>
      </c>
      <c r="U417" s="23">
        <v>2.528</v>
      </c>
      <c r="V417" s="5" t="s">
        <v>1982</v>
      </c>
      <c r="W417" s="4">
        <v>32083</v>
      </c>
      <c r="X417" s="4">
        <v>75000</v>
      </c>
      <c r="Y417" s="11">
        <v>42759</v>
      </c>
      <c r="Z417" s="11">
        <v>44588</v>
      </c>
      <c r="AA417" s="2"/>
      <c r="AB417" s="63" t="s">
        <v>3840</v>
      </c>
      <c r="AC417" s="5" t="s">
        <v>4198</v>
      </c>
      <c r="AD417" s="2"/>
      <c r="AE417" s="6"/>
      <c r="AF417" s="23"/>
      <c r="AG417" s="6"/>
      <c r="AH417" s="5" t="s">
        <v>3610</v>
      </c>
      <c r="AI417" s="5" t="s">
        <v>1737</v>
      </c>
      <c r="AJ417" s="5" t="s">
        <v>1737</v>
      </c>
      <c r="AK417" s="16" t="s">
        <v>3</v>
      </c>
      <c r="AL417" s="65" t="s">
        <v>3842</v>
      </c>
      <c r="AM417" s="31" t="s">
        <v>898</v>
      </c>
    </row>
    <row r="418" spans="2:39" x14ac:dyDescent="0.25">
      <c r="B418" s="18" t="s">
        <v>627</v>
      </c>
      <c r="C418" s="44" t="s">
        <v>3611</v>
      </c>
      <c r="D418" s="20" t="s">
        <v>628</v>
      </c>
      <c r="E418" s="67" t="s">
        <v>3</v>
      </c>
      <c r="F418" s="51" t="s">
        <v>3</v>
      </c>
      <c r="G418" s="37" t="s">
        <v>3842</v>
      </c>
      <c r="H418" s="68" t="s">
        <v>2715</v>
      </c>
      <c r="I418" s="62" t="s">
        <v>252</v>
      </c>
      <c r="J418" s="61" t="s">
        <v>250</v>
      </c>
      <c r="K418" s="4">
        <v>4796400</v>
      </c>
      <c r="L418" s="39">
        <v>100.175</v>
      </c>
      <c r="M418" s="4">
        <v>4808400</v>
      </c>
      <c r="N418" s="4">
        <v>4800000</v>
      </c>
      <c r="O418" s="4">
        <v>4799873</v>
      </c>
      <c r="P418" s="4">
        <v>0</v>
      </c>
      <c r="Q418" s="4">
        <v>754</v>
      </c>
      <c r="R418" s="4">
        <v>0</v>
      </c>
      <c r="S418" s="4">
        <v>0</v>
      </c>
      <c r="T418" s="23">
        <v>2.5499999999999998</v>
      </c>
      <c r="U418" s="23">
        <v>2.5659999999999998</v>
      </c>
      <c r="V418" s="5" t="s">
        <v>12</v>
      </c>
      <c r="W418" s="4">
        <v>40800</v>
      </c>
      <c r="X418" s="4">
        <v>122400</v>
      </c>
      <c r="Y418" s="11">
        <v>42425</v>
      </c>
      <c r="Z418" s="11">
        <v>44256</v>
      </c>
      <c r="AA418" s="2"/>
      <c r="AB418" s="63" t="s">
        <v>3840</v>
      </c>
      <c r="AC418" s="5" t="s">
        <v>4198</v>
      </c>
      <c r="AD418" s="2"/>
      <c r="AE418" s="11">
        <v>44228</v>
      </c>
      <c r="AF418" s="23">
        <v>100</v>
      </c>
      <c r="AG418" s="6"/>
      <c r="AH418" s="5" t="s">
        <v>3927</v>
      </c>
      <c r="AI418" s="5" t="s">
        <v>628</v>
      </c>
      <c r="AJ418" s="5" t="s">
        <v>3</v>
      </c>
      <c r="AK418" s="16" t="s">
        <v>3</v>
      </c>
      <c r="AL418" s="65" t="s">
        <v>3842</v>
      </c>
      <c r="AM418" s="31" t="s">
        <v>898</v>
      </c>
    </row>
    <row r="419" spans="2:39" x14ac:dyDescent="0.25">
      <c r="B419" s="18" t="s">
        <v>1738</v>
      </c>
      <c r="C419" s="44" t="s">
        <v>3371</v>
      </c>
      <c r="D419" s="20" t="s">
        <v>628</v>
      </c>
      <c r="E419" s="67" t="s">
        <v>3</v>
      </c>
      <c r="F419" s="51" t="s">
        <v>3</v>
      </c>
      <c r="G419" s="37" t="s">
        <v>3842</v>
      </c>
      <c r="H419" s="68" t="s">
        <v>2715</v>
      </c>
      <c r="I419" s="62" t="s">
        <v>252</v>
      </c>
      <c r="J419" s="61" t="s">
        <v>250</v>
      </c>
      <c r="K419" s="4">
        <v>4986700</v>
      </c>
      <c r="L419" s="39">
        <v>105.20099999999999</v>
      </c>
      <c r="M419" s="4">
        <v>5260050</v>
      </c>
      <c r="N419" s="4">
        <v>5000000</v>
      </c>
      <c r="O419" s="4">
        <v>4995191</v>
      </c>
      <c r="P419" s="4">
        <v>0</v>
      </c>
      <c r="Q419" s="4">
        <v>1930</v>
      </c>
      <c r="R419" s="4">
        <v>0</v>
      </c>
      <c r="S419" s="4">
        <v>0</v>
      </c>
      <c r="T419" s="23">
        <v>2.7</v>
      </c>
      <c r="U419" s="23">
        <v>2.742</v>
      </c>
      <c r="V419" s="5" t="s">
        <v>3312</v>
      </c>
      <c r="W419" s="4">
        <v>16125</v>
      </c>
      <c r="X419" s="4">
        <v>135000</v>
      </c>
      <c r="Y419" s="11">
        <v>42501</v>
      </c>
      <c r="Z419" s="11">
        <v>45064</v>
      </c>
      <c r="AA419" s="2"/>
      <c r="AB419" s="63" t="s">
        <v>3840</v>
      </c>
      <c r="AC419" s="5" t="s">
        <v>4198</v>
      </c>
      <c r="AD419" s="2"/>
      <c r="AE419" s="11">
        <v>45003</v>
      </c>
      <c r="AF419" s="23">
        <v>100</v>
      </c>
      <c r="AG419" s="9"/>
      <c r="AH419" s="5" t="s">
        <v>3927</v>
      </c>
      <c r="AI419" s="5" t="s">
        <v>628</v>
      </c>
      <c r="AJ419" s="5" t="s">
        <v>3</v>
      </c>
      <c r="AK419" s="16" t="s">
        <v>3</v>
      </c>
      <c r="AL419" s="65" t="s">
        <v>3842</v>
      </c>
      <c r="AM419" s="31" t="s">
        <v>898</v>
      </c>
    </row>
    <row r="420" spans="2:39" x14ac:dyDescent="0.25">
      <c r="B420" s="18" t="s">
        <v>2819</v>
      </c>
      <c r="C420" s="44" t="s">
        <v>4271</v>
      </c>
      <c r="D420" s="20" t="s">
        <v>2820</v>
      </c>
      <c r="E420" s="67" t="s">
        <v>3</v>
      </c>
      <c r="F420" s="51" t="s">
        <v>3</v>
      </c>
      <c r="G420" s="37" t="s">
        <v>3</v>
      </c>
      <c r="H420" s="68" t="s">
        <v>3842</v>
      </c>
      <c r="I420" s="62" t="s">
        <v>1157</v>
      </c>
      <c r="J420" s="61" t="s">
        <v>250</v>
      </c>
      <c r="K420" s="4">
        <v>2041820</v>
      </c>
      <c r="L420" s="39">
        <v>106.974</v>
      </c>
      <c r="M420" s="4">
        <v>2139480</v>
      </c>
      <c r="N420" s="4">
        <v>2000000</v>
      </c>
      <c r="O420" s="4">
        <v>2021335</v>
      </c>
      <c r="P420" s="4">
        <v>0</v>
      </c>
      <c r="Q420" s="4">
        <v>-11857</v>
      </c>
      <c r="R420" s="4">
        <v>0</v>
      </c>
      <c r="S420" s="4">
        <v>0</v>
      </c>
      <c r="T420" s="23">
        <v>4.7</v>
      </c>
      <c r="U420" s="23">
        <v>4.0460000000000003</v>
      </c>
      <c r="V420" s="5" t="s">
        <v>12</v>
      </c>
      <c r="W420" s="4">
        <v>27678</v>
      </c>
      <c r="X420" s="4">
        <v>94000</v>
      </c>
      <c r="Y420" s="11">
        <v>43553</v>
      </c>
      <c r="Z420" s="11">
        <v>44819</v>
      </c>
      <c r="AA420" s="2"/>
      <c r="AB420" s="63" t="s">
        <v>3840</v>
      </c>
      <c r="AC420" s="5" t="s">
        <v>4198</v>
      </c>
      <c r="AD420" s="2"/>
      <c r="AE420" s="9"/>
      <c r="AF420" s="23"/>
      <c r="AG420" s="6"/>
      <c r="AH420" s="5" t="s">
        <v>1739</v>
      </c>
      <c r="AI420" s="5" t="s">
        <v>2052</v>
      </c>
      <c r="AJ420" s="5" t="s">
        <v>2052</v>
      </c>
      <c r="AK420" s="16" t="s">
        <v>3</v>
      </c>
      <c r="AL420" s="65" t="s">
        <v>3842</v>
      </c>
      <c r="AM420" s="31" t="s">
        <v>926</v>
      </c>
    </row>
    <row r="421" spans="2:39" x14ac:dyDescent="0.25">
      <c r="B421" s="18" t="s">
        <v>3928</v>
      </c>
      <c r="C421" s="44" t="s">
        <v>4272</v>
      </c>
      <c r="D421" s="20" t="s">
        <v>2052</v>
      </c>
      <c r="E421" s="67" t="s">
        <v>3</v>
      </c>
      <c r="F421" s="51" t="s">
        <v>3</v>
      </c>
      <c r="G421" s="37" t="s">
        <v>2715</v>
      </c>
      <c r="H421" s="68" t="s">
        <v>3842</v>
      </c>
      <c r="I421" s="62" t="s">
        <v>1157</v>
      </c>
      <c r="J421" s="61" t="s">
        <v>250</v>
      </c>
      <c r="K421" s="4">
        <v>5576700</v>
      </c>
      <c r="L421" s="39">
        <v>113.504</v>
      </c>
      <c r="M421" s="4">
        <v>5675200</v>
      </c>
      <c r="N421" s="4">
        <v>5000000</v>
      </c>
      <c r="O421" s="4">
        <v>5546762</v>
      </c>
      <c r="P421" s="4">
        <v>0</v>
      </c>
      <c r="Q421" s="4">
        <v>-29938</v>
      </c>
      <c r="R421" s="4">
        <v>0</v>
      </c>
      <c r="S421" s="4">
        <v>0</v>
      </c>
      <c r="T421" s="23">
        <v>3.95</v>
      </c>
      <c r="U421" s="23">
        <v>2.2050000000000001</v>
      </c>
      <c r="V421" s="5" t="s">
        <v>1982</v>
      </c>
      <c r="W421" s="4">
        <v>92715</v>
      </c>
      <c r="X421" s="4">
        <v>0</v>
      </c>
      <c r="Y421" s="11">
        <v>44047</v>
      </c>
      <c r="Z421" s="11">
        <v>46764</v>
      </c>
      <c r="AA421" s="2"/>
      <c r="AB421" s="63" t="s">
        <v>3840</v>
      </c>
      <c r="AC421" s="5" t="s">
        <v>4198</v>
      </c>
      <c r="AD421" s="2"/>
      <c r="AE421" s="11">
        <v>46672</v>
      </c>
      <c r="AF421" s="23">
        <v>100</v>
      </c>
      <c r="AG421" s="10">
        <v>46672</v>
      </c>
      <c r="AH421" s="5" t="s">
        <v>1739</v>
      </c>
      <c r="AI421" s="5" t="s">
        <v>2052</v>
      </c>
      <c r="AJ421" s="5" t="s">
        <v>3</v>
      </c>
      <c r="AK421" s="16" t="s">
        <v>3</v>
      </c>
      <c r="AL421" s="65" t="s">
        <v>3842</v>
      </c>
      <c r="AM421" s="31" t="s">
        <v>926</v>
      </c>
    </row>
    <row r="422" spans="2:39" x14ac:dyDescent="0.25">
      <c r="B422" s="18" t="s">
        <v>629</v>
      </c>
      <c r="C422" s="44" t="s">
        <v>1740</v>
      </c>
      <c r="D422" s="20" t="s">
        <v>628</v>
      </c>
      <c r="E422" s="67" t="s">
        <v>3</v>
      </c>
      <c r="F422" s="51" t="s">
        <v>3</v>
      </c>
      <c r="G422" s="37" t="s">
        <v>2715</v>
      </c>
      <c r="H422" s="68" t="s">
        <v>2715</v>
      </c>
      <c r="I422" s="62" t="s">
        <v>252</v>
      </c>
      <c r="J422" s="61" t="s">
        <v>250</v>
      </c>
      <c r="K422" s="4">
        <v>5109400</v>
      </c>
      <c r="L422" s="39">
        <v>108.375</v>
      </c>
      <c r="M422" s="4">
        <v>5418750</v>
      </c>
      <c r="N422" s="4">
        <v>5000000</v>
      </c>
      <c r="O422" s="4">
        <v>5066512</v>
      </c>
      <c r="P422" s="4">
        <v>0</v>
      </c>
      <c r="Q422" s="4">
        <v>-24705</v>
      </c>
      <c r="R422" s="4">
        <v>0</v>
      </c>
      <c r="S422" s="4">
        <v>0</v>
      </c>
      <c r="T422" s="23">
        <v>3.7970000000000002</v>
      </c>
      <c r="U422" s="23">
        <v>3.2469999999999999</v>
      </c>
      <c r="V422" s="5" t="s">
        <v>1982</v>
      </c>
      <c r="W422" s="4">
        <v>83323</v>
      </c>
      <c r="X422" s="4">
        <v>189850</v>
      </c>
      <c r="Y422" s="11">
        <v>43551</v>
      </c>
      <c r="Z422" s="11">
        <v>45496</v>
      </c>
      <c r="AA422" s="2"/>
      <c r="AB422" s="63" t="s">
        <v>3840</v>
      </c>
      <c r="AC422" s="5" t="s">
        <v>4198</v>
      </c>
      <c r="AD422" s="2"/>
      <c r="AE422" s="10">
        <v>45130</v>
      </c>
      <c r="AF422" s="23">
        <v>100</v>
      </c>
      <c r="AG422" s="10">
        <v>45130</v>
      </c>
      <c r="AH422" s="5" t="s">
        <v>3927</v>
      </c>
      <c r="AI422" s="5" t="s">
        <v>628</v>
      </c>
      <c r="AJ422" s="5" t="s">
        <v>3</v>
      </c>
      <c r="AK422" s="16" t="s">
        <v>3</v>
      </c>
      <c r="AL422" s="65" t="s">
        <v>3842</v>
      </c>
      <c r="AM422" s="31" t="s">
        <v>898</v>
      </c>
    </row>
    <row r="423" spans="2:39" x14ac:dyDescent="0.25">
      <c r="B423" s="18" t="s">
        <v>1741</v>
      </c>
      <c r="C423" s="44" t="s">
        <v>1409</v>
      </c>
      <c r="D423" s="20" t="s">
        <v>628</v>
      </c>
      <c r="E423" s="67" t="s">
        <v>3</v>
      </c>
      <c r="F423" s="51" t="s">
        <v>3</v>
      </c>
      <c r="G423" s="37" t="s">
        <v>2715</v>
      </c>
      <c r="H423" s="68" t="s">
        <v>2715</v>
      </c>
      <c r="I423" s="62" t="s">
        <v>252</v>
      </c>
      <c r="J423" s="61" t="s">
        <v>250</v>
      </c>
      <c r="K423" s="4">
        <v>15104880</v>
      </c>
      <c r="L423" s="39">
        <v>106.163</v>
      </c>
      <c r="M423" s="4">
        <v>15924450</v>
      </c>
      <c r="N423" s="4">
        <v>15000000</v>
      </c>
      <c r="O423" s="4">
        <v>15086212</v>
      </c>
      <c r="P423" s="4">
        <v>0</v>
      </c>
      <c r="Q423" s="4">
        <v>-18662</v>
      </c>
      <c r="R423" s="4">
        <v>0</v>
      </c>
      <c r="S423" s="4">
        <v>0</v>
      </c>
      <c r="T423" s="23">
        <v>2.3010000000000002</v>
      </c>
      <c r="U423" s="23">
        <v>2.1419999999999999</v>
      </c>
      <c r="V423" s="5" t="s">
        <v>3843</v>
      </c>
      <c r="W423" s="4">
        <v>72865</v>
      </c>
      <c r="X423" s="4">
        <v>376789</v>
      </c>
      <c r="Y423" s="11">
        <v>43873</v>
      </c>
      <c r="Z423" s="11">
        <v>45945</v>
      </c>
      <c r="AA423" s="2"/>
      <c r="AB423" s="63" t="s">
        <v>3840</v>
      </c>
      <c r="AC423" s="5" t="s">
        <v>4198</v>
      </c>
      <c r="AD423" s="2"/>
      <c r="AE423" s="10">
        <v>45580</v>
      </c>
      <c r="AF423" s="23">
        <v>100</v>
      </c>
      <c r="AG423" s="10">
        <v>45580</v>
      </c>
      <c r="AH423" s="5" t="s">
        <v>3927</v>
      </c>
      <c r="AI423" s="5" t="s">
        <v>628</v>
      </c>
      <c r="AJ423" s="5" t="s">
        <v>3</v>
      </c>
      <c r="AK423" s="16" t="s">
        <v>3</v>
      </c>
      <c r="AL423" s="65" t="s">
        <v>3842</v>
      </c>
      <c r="AM423" s="31" t="s">
        <v>898</v>
      </c>
    </row>
    <row r="424" spans="2:39" x14ac:dyDescent="0.25">
      <c r="B424" s="18" t="s">
        <v>3929</v>
      </c>
      <c r="C424" s="44" t="s">
        <v>1410</v>
      </c>
      <c r="D424" s="20" t="s">
        <v>628</v>
      </c>
      <c r="E424" s="67" t="s">
        <v>3</v>
      </c>
      <c r="F424" s="51" t="s">
        <v>3</v>
      </c>
      <c r="G424" s="37" t="s">
        <v>2715</v>
      </c>
      <c r="H424" s="68" t="s">
        <v>2715</v>
      </c>
      <c r="I424" s="62" t="s">
        <v>252</v>
      </c>
      <c r="J424" s="61" t="s">
        <v>250</v>
      </c>
      <c r="K424" s="4">
        <v>4000000</v>
      </c>
      <c r="L424" s="39">
        <v>101.14400000000001</v>
      </c>
      <c r="M424" s="4">
        <v>4045760</v>
      </c>
      <c r="N424" s="4">
        <v>4000000</v>
      </c>
      <c r="O424" s="4">
        <v>3999996</v>
      </c>
      <c r="P424" s="4">
        <v>0</v>
      </c>
      <c r="Q424" s="4">
        <v>-4</v>
      </c>
      <c r="R424" s="4">
        <v>0</v>
      </c>
      <c r="S424" s="4">
        <v>0</v>
      </c>
      <c r="T424" s="23">
        <v>1.0449999999999999</v>
      </c>
      <c r="U424" s="23">
        <v>1.044</v>
      </c>
      <c r="V424" s="5" t="s">
        <v>3312</v>
      </c>
      <c r="W424" s="4">
        <v>4877</v>
      </c>
      <c r="X424" s="4">
        <v>0</v>
      </c>
      <c r="Y424" s="11">
        <v>44147</v>
      </c>
      <c r="Z424" s="11">
        <v>46345</v>
      </c>
      <c r="AA424" s="2"/>
      <c r="AB424" s="63" t="s">
        <v>3840</v>
      </c>
      <c r="AC424" s="5" t="s">
        <v>4198</v>
      </c>
      <c r="AD424" s="2"/>
      <c r="AE424" s="10">
        <v>45980</v>
      </c>
      <c r="AF424" s="23">
        <v>100</v>
      </c>
      <c r="AG424" s="6"/>
      <c r="AH424" s="5" t="s">
        <v>3927</v>
      </c>
      <c r="AI424" s="5" t="s">
        <v>628</v>
      </c>
      <c r="AJ424" s="5" t="s">
        <v>3</v>
      </c>
      <c r="AK424" s="16" t="s">
        <v>3</v>
      </c>
      <c r="AL424" s="65" t="s">
        <v>3842</v>
      </c>
      <c r="AM424" s="31" t="s">
        <v>898</v>
      </c>
    </row>
    <row r="425" spans="2:39" x14ac:dyDescent="0.25">
      <c r="B425" s="18" t="s">
        <v>630</v>
      </c>
      <c r="C425" s="44" t="s">
        <v>2280</v>
      </c>
      <c r="D425" s="20" t="s">
        <v>2281</v>
      </c>
      <c r="E425" s="67" t="s">
        <v>3</v>
      </c>
      <c r="F425" s="51" t="s">
        <v>3</v>
      </c>
      <c r="G425" s="37" t="s">
        <v>3</v>
      </c>
      <c r="H425" s="68" t="s">
        <v>3842</v>
      </c>
      <c r="I425" s="62" t="s">
        <v>1157</v>
      </c>
      <c r="J425" s="61" t="s">
        <v>3</v>
      </c>
      <c r="K425" s="4">
        <v>5000000</v>
      </c>
      <c r="L425" s="39">
        <v>110</v>
      </c>
      <c r="M425" s="4">
        <v>5500000</v>
      </c>
      <c r="N425" s="4">
        <v>5000000</v>
      </c>
      <c r="O425" s="4">
        <v>5000000</v>
      </c>
      <c r="P425" s="4">
        <v>0</v>
      </c>
      <c r="Q425" s="4">
        <v>0</v>
      </c>
      <c r="R425" s="4">
        <v>0</v>
      </c>
      <c r="S425" s="4">
        <v>0</v>
      </c>
      <c r="T425" s="23">
        <v>4.2699999999999996</v>
      </c>
      <c r="U425" s="23">
        <v>4.2699999999999996</v>
      </c>
      <c r="V425" s="5" t="s">
        <v>3312</v>
      </c>
      <c r="W425" s="4">
        <v>31432</v>
      </c>
      <c r="X425" s="4">
        <v>213500</v>
      </c>
      <c r="Y425" s="11">
        <v>43235</v>
      </c>
      <c r="Z425" s="11">
        <v>45785</v>
      </c>
      <c r="AA425" s="2"/>
      <c r="AB425" s="63" t="s">
        <v>1684</v>
      </c>
      <c r="AC425" s="5" t="s">
        <v>3</v>
      </c>
      <c r="AD425" s="2"/>
      <c r="AE425" s="6"/>
      <c r="AF425" s="23"/>
      <c r="AG425" s="6"/>
      <c r="AH425" s="5" t="s">
        <v>980</v>
      </c>
      <c r="AI425" s="5" t="s">
        <v>336</v>
      </c>
      <c r="AJ425" s="5" t="s">
        <v>631</v>
      </c>
      <c r="AK425" s="16" t="s">
        <v>3</v>
      </c>
      <c r="AL425" s="65" t="s">
        <v>3842</v>
      </c>
      <c r="AM425" s="31" t="s">
        <v>2821</v>
      </c>
    </row>
    <row r="426" spans="2:39" x14ac:dyDescent="0.25">
      <c r="B426" s="18" t="s">
        <v>1742</v>
      </c>
      <c r="C426" s="44" t="s">
        <v>3138</v>
      </c>
      <c r="D426" s="20" t="s">
        <v>2053</v>
      </c>
      <c r="E426" s="67" t="s">
        <v>3</v>
      </c>
      <c r="F426" s="51" t="s">
        <v>3</v>
      </c>
      <c r="G426" s="37" t="s">
        <v>2715</v>
      </c>
      <c r="H426" s="68" t="s">
        <v>3842</v>
      </c>
      <c r="I426" s="62" t="s">
        <v>10</v>
      </c>
      <c r="J426" s="61" t="s">
        <v>250</v>
      </c>
      <c r="K426" s="4">
        <v>5073550</v>
      </c>
      <c r="L426" s="39">
        <v>111.762</v>
      </c>
      <c r="M426" s="4">
        <v>5588100</v>
      </c>
      <c r="N426" s="4">
        <v>5000000</v>
      </c>
      <c r="O426" s="4">
        <v>5054768</v>
      </c>
      <c r="P426" s="4">
        <v>0</v>
      </c>
      <c r="Q426" s="4">
        <v>-10140</v>
      </c>
      <c r="R426" s="4">
        <v>0</v>
      </c>
      <c r="S426" s="4">
        <v>0</v>
      </c>
      <c r="T426" s="23">
        <v>4.3</v>
      </c>
      <c r="U426" s="23">
        <v>4.0469999999999997</v>
      </c>
      <c r="V426" s="5" t="s">
        <v>1982</v>
      </c>
      <c r="W426" s="4">
        <v>99139</v>
      </c>
      <c r="X426" s="4">
        <v>215000</v>
      </c>
      <c r="Y426" s="11">
        <v>43501</v>
      </c>
      <c r="Z426" s="11">
        <v>46037</v>
      </c>
      <c r="AA426" s="2"/>
      <c r="AB426" s="63" t="s">
        <v>3840</v>
      </c>
      <c r="AC426" s="5" t="s">
        <v>4198</v>
      </c>
      <c r="AD426" s="2"/>
      <c r="AE426" s="10">
        <v>45945</v>
      </c>
      <c r="AF426" s="23">
        <v>100</v>
      </c>
      <c r="AG426" s="10">
        <v>45945</v>
      </c>
      <c r="AH426" s="5" t="s">
        <v>1210</v>
      </c>
      <c r="AI426" s="5" t="s">
        <v>337</v>
      </c>
      <c r="AJ426" s="5" t="s">
        <v>928</v>
      </c>
      <c r="AK426" s="16" t="s">
        <v>3</v>
      </c>
      <c r="AL426" s="65" t="s">
        <v>3842</v>
      </c>
      <c r="AM426" s="31" t="s">
        <v>1176</v>
      </c>
    </row>
    <row r="427" spans="2:39" x14ac:dyDescent="0.25">
      <c r="B427" s="18" t="s">
        <v>2822</v>
      </c>
      <c r="C427" s="44" t="s">
        <v>4273</v>
      </c>
      <c r="D427" s="20" t="s">
        <v>981</v>
      </c>
      <c r="E427" s="67" t="s">
        <v>3</v>
      </c>
      <c r="F427" s="51" t="s">
        <v>3</v>
      </c>
      <c r="G427" s="37" t="s">
        <v>3</v>
      </c>
      <c r="H427" s="68" t="s">
        <v>3842</v>
      </c>
      <c r="I427" s="62" t="s">
        <v>10</v>
      </c>
      <c r="J427" s="61" t="s">
        <v>2244</v>
      </c>
      <c r="K427" s="4">
        <v>8000000</v>
      </c>
      <c r="L427" s="39">
        <v>100.378</v>
      </c>
      <c r="M427" s="4">
        <v>8030240</v>
      </c>
      <c r="N427" s="4">
        <v>8000000</v>
      </c>
      <c r="O427" s="4">
        <v>8000000</v>
      </c>
      <c r="P427" s="4">
        <v>0</v>
      </c>
      <c r="Q427" s="4">
        <v>0</v>
      </c>
      <c r="R427" s="4">
        <v>0</v>
      </c>
      <c r="S427" s="4">
        <v>0</v>
      </c>
      <c r="T427" s="23">
        <v>2.2999999999999998</v>
      </c>
      <c r="U427" s="23">
        <v>2.2999999999999998</v>
      </c>
      <c r="V427" s="5" t="s">
        <v>3312</v>
      </c>
      <c r="W427" s="4">
        <v>21978</v>
      </c>
      <c r="X427" s="4">
        <v>0</v>
      </c>
      <c r="Y427" s="11">
        <v>44153</v>
      </c>
      <c r="Z427" s="11">
        <v>46709</v>
      </c>
      <c r="AA427" s="2"/>
      <c r="AB427" s="63" t="s">
        <v>2748</v>
      </c>
      <c r="AC427" s="5" t="s">
        <v>3</v>
      </c>
      <c r="AD427" s="2"/>
      <c r="AE427" s="9"/>
      <c r="AF427" s="23"/>
      <c r="AG427" s="6"/>
      <c r="AH427" s="5" t="s">
        <v>632</v>
      </c>
      <c r="AI427" s="5" t="s">
        <v>981</v>
      </c>
      <c r="AJ427" s="5" t="s">
        <v>3</v>
      </c>
      <c r="AK427" s="16" t="s">
        <v>3</v>
      </c>
      <c r="AL427" s="65" t="s">
        <v>3842</v>
      </c>
      <c r="AM427" s="31" t="s">
        <v>3100</v>
      </c>
    </row>
    <row r="428" spans="2:39" x14ac:dyDescent="0.25">
      <c r="B428" s="18" t="s">
        <v>3930</v>
      </c>
      <c r="C428" s="44" t="s">
        <v>1211</v>
      </c>
      <c r="D428" s="20" t="s">
        <v>338</v>
      </c>
      <c r="E428" s="67" t="s">
        <v>3</v>
      </c>
      <c r="F428" s="51" t="s">
        <v>3</v>
      </c>
      <c r="G428" s="37" t="s">
        <v>2715</v>
      </c>
      <c r="H428" s="68" t="s">
        <v>3842</v>
      </c>
      <c r="I428" s="62" t="s">
        <v>10</v>
      </c>
      <c r="J428" s="61" t="s">
        <v>250</v>
      </c>
      <c r="K428" s="4">
        <v>10307093</v>
      </c>
      <c r="L428" s="39">
        <v>115.262</v>
      </c>
      <c r="M428" s="4">
        <v>11526200</v>
      </c>
      <c r="N428" s="4">
        <v>10000000</v>
      </c>
      <c r="O428" s="4">
        <v>10190702</v>
      </c>
      <c r="P428" s="4">
        <v>0</v>
      </c>
      <c r="Q428" s="4">
        <v>-41613</v>
      </c>
      <c r="R428" s="4">
        <v>0</v>
      </c>
      <c r="S428" s="4">
        <v>0</v>
      </c>
      <c r="T428" s="23">
        <v>4.3499999999999996</v>
      </c>
      <c r="U428" s="23">
        <v>3.8490000000000002</v>
      </c>
      <c r="V428" s="5" t="s">
        <v>3844</v>
      </c>
      <c r="W428" s="4">
        <v>19333</v>
      </c>
      <c r="X428" s="4">
        <v>435000</v>
      </c>
      <c r="Y428" s="11">
        <v>43553</v>
      </c>
      <c r="Z428" s="11">
        <v>45823</v>
      </c>
      <c r="AA428" s="2"/>
      <c r="AB428" s="63" t="s">
        <v>3840</v>
      </c>
      <c r="AC428" s="5" t="s">
        <v>4198</v>
      </c>
      <c r="AD428" s="2"/>
      <c r="AE428" s="11">
        <v>45731</v>
      </c>
      <c r="AF428" s="23">
        <v>100</v>
      </c>
      <c r="AG428" s="10">
        <v>45731</v>
      </c>
      <c r="AH428" s="5" t="s">
        <v>3</v>
      </c>
      <c r="AI428" s="5" t="s">
        <v>338</v>
      </c>
      <c r="AJ428" s="5" t="s">
        <v>3</v>
      </c>
      <c r="AK428" s="16" t="s">
        <v>3</v>
      </c>
      <c r="AL428" s="65" t="s">
        <v>3842</v>
      </c>
      <c r="AM428" s="31" t="s">
        <v>1176</v>
      </c>
    </row>
    <row r="429" spans="2:39" x14ac:dyDescent="0.25">
      <c r="B429" s="18" t="s">
        <v>633</v>
      </c>
      <c r="C429" s="44" t="s">
        <v>339</v>
      </c>
      <c r="D429" s="20" t="s">
        <v>3612</v>
      </c>
      <c r="E429" s="67" t="s">
        <v>3</v>
      </c>
      <c r="F429" s="51" t="s">
        <v>3</v>
      </c>
      <c r="G429" s="37" t="s">
        <v>3</v>
      </c>
      <c r="H429" s="68" t="s">
        <v>3842</v>
      </c>
      <c r="I429" s="62" t="s">
        <v>10</v>
      </c>
      <c r="J429" s="61" t="s">
        <v>250</v>
      </c>
      <c r="K429" s="4">
        <v>4163250</v>
      </c>
      <c r="L429" s="39">
        <v>106.64400000000001</v>
      </c>
      <c r="M429" s="4">
        <v>4443855</v>
      </c>
      <c r="N429" s="4">
        <v>4167000</v>
      </c>
      <c r="O429" s="4">
        <v>4165378</v>
      </c>
      <c r="P429" s="4">
        <v>0</v>
      </c>
      <c r="Q429" s="4">
        <v>528</v>
      </c>
      <c r="R429" s="4">
        <v>0</v>
      </c>
      <c r="S429" s="4">
        <v>0</v>
      </c>
      <c r="T429" s="23">
        <v>2.65</v>
      </c>
      <c r="U429" s="23">
        <v>2.6640000000000001</v>
      </c>
      <c r="V429" s="5" t="s">
        <v>3844</v>
      </c>
      <c r="W429" s="4">
        <v>9202</v>
      </c>
      <c r="X429" s="4">
        <v>110426</v>
      </c>
      <c r="Y429" s="11">
        <v>42681</v>
      </c>
      <c r="Z429" s="11">
        <v>45261</v>
      </c>
      <c r="AA429" s="2"/>
      <c r="AB429" s="63" t="s">
        <v>3840</v>
      </c>
      <c r="AC429" s="5" t="s">
        <v>4198</v>
      </c>
      <c r="AD429" s="2"/>
      <c r="AE429" s="9"/>
      <c r="AF429" s="23"/>
      <c r="AG429" s="6"/>
      <c r="AH429" s="5" t="s">
        <v>634</v>
      </c>
      <c r="AI429" s="5" t="s">
        <v>3612</v>
      </c>
      <c r="AJ429" s="5" t="s">
        <v>3</v>
      </c>
      <c r="AK429" s="16" t="s">
        <v>3</v>
      </c>
      <c r="AL429" s="65" t="s">
        <v>3842</v>
      </c>
      <c r="AM429" s="31" t="s">
        <v>1176</v>
      </c>
    </row>
    <row r="430" spans="2:39" x14ac:dyDescent="0.25">
      <c r="B430" s="18" t="s">
        <v>1743</v>
      </c>
      <c r="C430" s="44" t="s">
        <v>2282</v>
      </c>
      <c r="D430" s="20" t="s">
        <v>3139</v>
      </c>
      <c r="E430" s="67" t="s">
        <v>3</v>
      </c>
      <c r="F430" s="51" t="s">
        <v>3</v>
      </c>
      <c r="G430" s="37" t="s">
        <v>2715</v>
      </c>
      <c r="H430" s="68" t="s">
        <v>3842</v>
      </c>
      <c r="I430" s="62" t="s">
        <v>1157</v>
      </c>
      <c r="J430" s="61" t="s">
        <v>250</v>
      </c>
      <c r="K430" s="4">
        <v>5089000</v>
      </c>
      <c r="L430" s="39">
        <v>102.518</v>
      </c>
      <c r="M430" s="4">
        <v>5125900</v>
      </c>
      <c r="N430" s="4">
        <v>5000000</v>
      </c>
      <c r="O430" s="4">
        <v>5020083</v>
      </c>
      <c r="P430" s="4">
        <v>0</v>
      </c>
      <c r="Q430" s="4">
        <v>-22083</v>
      </c>
      <c r="R430" s="4">
        <v>0</v>
      </c>
      <c r="S430" s="4">
        <v>0</v>
      </c>
      <c r="T430" s="23">
        <v>3.875</v>
      </c>
      <c r="U430" s="23">
        <v>3.4079999999999999</v>
      </c>
      <c r="V430" s="5" t="s">
        <v>248</v>
      </c>
      <c r="W430" s="4">
        <v>73194</v>
      </c>
      <c r="X430" s="4">
        <v>193750</v>
      </c>
      <c r="Y430" s="11">
        <v>43007</v>
      </c>
      <c r="Z430" s="11">
        <v>44607</v>
      </c>
      <c r="AA430" s="2"/>
      <c r="AB430" s="63" t="s">
        <v>3840</v>
      </c>
      <c r="AC430" s="5" t="s">
        <v>4198</v>
      </c>
      <c r="AD430" s="2"/>
      <c r="AE430" s="11">
        <v>44515</v>
      </c>
      <c r="AF430" s="23">
        <v>100</v>
      </c>
      <c r="AG430" s="10">
        <v>44515</v>
      </c>
      <c r="AH430" s="5" t="s">
        <v>1411</v>
      </c>
      <c r="AI430" s="5" t="s">
        <v>3140</v>
      </c>
      <c r="AJ430" s="5" t="s">
        <v>3140</v>
      </c>
      <c r="AK430" s="16" t="s">
        <v>3</v>
      </c>
      <c r="AL430" s="65" t="s">
        <v>3842</v>
      </c>
      <c r="AM430" s="31" t="s">
        <v>926</v>
      </c>
    </row>
    <row r="431" spans="2:39" x14ac:dyDescent="0.25">
      <c r="B431" s="18" t="s">
        <v>2823</v>
      </c>
      <c r="C431" s="44" t="s">
        <v>2824</v>
      </c>
      <c r="D431" s="20" t="s">
        <v>1744</v>
      </c>
      <c r="E431" s="67" t="s">
        <v>3</v>
      </c>
      <c r="F431" s="51" t="s">
        <v>3</v>
      </c>
      <c r="G431" s="37" t="s">
        <v>3</v>
      </c>
      <c r="H431" s="68" t="s">
        <v>3842</v>
      </c>
      <c r="I431" s="62" t="s">
        <v>3310</v>
      </c>
      <c r="J431" s="61" t="s">
        <v>250</v>
      </c>
      <c r="K431" s="4">
        <v>10205600</v>
      </c>
      <c r="L431" s="39">
        <v>107.06399999999999</v>
      </c>
      <c r="M431" s="4">
        <v>10706400</v>
      </c>
      <c r="N431" s="4">
        <v>10000000</v>
      </c>
      <c r="O431" s="4">
        <v>10189719</v>
      </c>
      <c r="P431" s="4">
        <v>0</v>
      </c>
      <c r="Q431" s="4">
        <v>-15881</v>
      </c>
      <c r="R431" s="4">
        <v>0</v>
      </c>
      <c r="S431" s="4">
        <v>0</v>
      </c>
      <c r="T431" s="23">
        <v>2.25</v>
      </c>
      <c r="U431" s="23">
        <v>1.927</v>
      </c>
      <c r="V431" s="5" t="s">
        <v>3843</v>
      </c>
      <c r="W431" s="4">
        <v>53125</v>
      </c>
      <c r="X431" s="4">
        <v>150000</v>
      </c>
      <c r="Y431" s="11">
        <v>43985</v>
      </c>
      <c r="Z431" s="11">
        <v>46483</v>
      </c>
      <c r="AA431" s="2"/>
      <c r="AB431" s="63" t="s">
        <v>3840</v>
      </c>
      <c r="AC431" s="5" t="s">
        <v>4198</v>
      </c>
      <c r="AD431" s="2"/>
      <c r="AE431" s="9"/>
      <c r="AF431" s="23"/>
      <c r="AG431" s="6"/>
      <c r="AH431" s="5" t="s">
        <v>3</v>
      </c>
      <c r="AI431" s="5" t="s">
        <v>1744</v>
      </c>
      <c r="AJ431" s="5" t="s">
        <v>3</v>
      </c>
      <c r="AK431" s="16" t="s">
        <v>3</v>
      </c>
      <c r="AL431" s="65" t="s">
        <v>3842</v>
      </c>
      <c r="AM431" s="31" t="s">
        <v>1651</v>
      </c>
    </row>
    <row r="432" spans="2:39" x14ac:dyDescent="0.25">
      <c r="B432" s="18" t="s">
        <v>3931</v>
      </c>
      <c r="C432" s="44" t="s">
        <v>3372</v>
      </c>
      <c r="D432" s="20" t="s">
        <v>1412</v>
      </c>
      <c r="E432" s="67" t="s">
        <v>3</v>
      </c>
      <c r="F432" s="51" t="s">
        <v>3</v>
      </c>
      <c r="G432" s="37" t="s">
        <v>3</v>
      </c>
      <c r="H432" s="68" t="s">
        <v>2715</v>
      </c>
      <c r="I432" s="62" t="s">
        <v>1358</v>
      </c>
      <c r="J432" s="61" t="s">
        <v>250</v>
      </c>
      <c r="K432" s="4">
        <v>2999460</v>
      </c>
      <c r="L432" s="39">
        <v>106.51900000000001</v>
      </c>
      <c r="M432" s="4">
        <v>3195570</v>
      </c>
      <c r="N432" s="4">
        <v>3000000</v>
      </c>
      <c r="O432" s="4">
        <v>2999753</v>
      </c>
      <c r="P432" s="4">
        <v>0</v>
      </c>
      <c r="Q432" s="4">
        <v>107</v>
      </c>
      <c r="R432" s="4">
        <v>0</v>
      </c>
      <c r="S432" s="4">
        <v>0</v>
      </c>
      <c r="T432" s="23">
        <v>3.375</v>
      </c>
      <c r="U432" s="23">
        <v>3.379</v>
      </c>
      <c r="V432" s="5" t="s">
        <v>12</v>
      </c>
      <c r="W432" s="4">
        <v>32063</v>
      </c>
      <c r="X432" s="4">
        <v>101250</v>
      </c>
      <c r="Y432" s="11">
        <v>43159</v>
      </c>
      <c r="Z432" s="11">
        <v>44992</v>
      </c>
      <c r="AA432" s="2"/>
      <c r="AB432" s="63" t="s">
        <v>3840</v>
      </c>
      <c r="AC432" s="5" t="s">
        <v>4198</v>
      </c>
      <c r="AD432" s="2"/>
      <c r="AE432" s="9"/>
      <c r="AF432" s="23"/>
      <c r="AG432" s="6"/>
      <c r="AH432" s="5" t="s">
        <v>3</v>
      </c>
      <c r="AI432" s="5" t="s">
        <v>1412</v>
      </c>
      <c r="AJ432" s="5" t="s">
        <v>3</v>
      </c>
      <c r="AK432" s="16" t="s">
        <v>3</v>
      </c>
      <c r="AL432" s="65" t="s">
        <v>3842</v>
      </c>
      <c r="AM432" s="31" t="s">
        <v>559</v>
      </c>
    </row>
    <row r="433" spans="2:39" x14ac:dyDescent="0.25">
      <c r="B433" s="18" t="s">
        <v>982</v>
      </c>
      <c r="C433" s="44" t="s">
        <v>3613</v>
      </c>
      <c r="D433" s="20" t="s">
        <v>1413</v>
      </c>
      <c r="E433" s="67" t="s">
        <v>3</v>
      </c>
      <c r="F433" s="51" t="s">
        <v>3</v>
      </c>
      <c r="G433" s="37" t="s">
        <v>2715</v>
      </c>
      <c r="H433" s="68" t="s">
        <v>2715</v>
      </c>
      <c r="I433" s="62" t="s">
        <v>1358</v>
      </c>
      <c r="J433" s="61" t="s">
        <v>250</v>
      </c>
      <c r="K433" s="4">
        <v>4089400</v>
      </c>
      <c r="L433" s="39">
        <v>109.134</v>
      </c>
      <c r="M433" s="4">
        <v>4365360</v>
      </c>
      <c r="N433" s="4">
        <v>4000000</v>
      </c>
      <c r="O433" s="4">
        <v>4072690</v>
      </c>
      <c r="P433" s="4">
        <v>0</v>
      </c>
      <c r="Q433" s="4">
        <v>-12514</v>
      </c>
      <c r="R433" s="4">
        <v>0</v>
      </c>
      <c r="S433" s="4">
        <v>0</v>
      </c>
      <c r="T433" s="23">
        <v>2.742</v>
      </c>
      <c r="U433" s="23">
        <v>2.38</v>
      </c>
      <c r="V433" s="5" t="s">
        <v>248</v>
      </c>
      <c r="W433" s="4">
        <v>41435</v>
      </c>
      <c r="X433" s="4">
        <v>109680</v>
      </c>
      <c r="Y433" s="11">
        <v>43703</v>
      </c>
      <c r="Z433" s="11">
        <v>46249</v>
      </c>
      <c r="AA433" s="2"/>
      <c r="AB433" s="63" t="s">
        <v>3840</v>
      </c>
      <c r="AC433" s="5" t="s">
        <v>4198</v>
      </c>
      <c r="AD433" s="2"/>
      <c r="AE433" s="11">
        <v>46157</v>
      </c>
      <c r="AF433" s="23">
        <v>100</v>
      </c>
      <c r="AG433" s="11">
        <v>46157</v>
      </c>
      <c r="AH433" s="5" t="s">
        <v>3</v>
      </c>
      <c r="AI433" s="5" t="s">
        <v>1414</v>
      </c>
      <c r="AJ433" s="5" t="s">
        <v>928</v>
      </c>
      <c r="AK433" s="16" t="s">
        <v>3</v>
      </c>
      <c r="AL433" s="65" t="s">
        <v>3842</v>
      </c>
      <c r="AM433" s="31" t="s">
        <v>559</v>
      </c>
    </row>
    <row r="434" spans="2:39" x14ac:dyDescent="0.25">
      <c r="B434" s="18" t="s">
        <v>2825</v>
      </c>
      <c r="C434" s="44" t="s">
        <v>1212</v>
      </c>
      <c r="D434" s="20" t="s">
        <v>3141</v>
      </c>
      <c r="E434" s="67" t="s">
        <v>3</v>
      </c>
      <c r="F434" s="51" t="s">
        <v>3</v>
      </c>
      <c r="G434" s="37" t="s">
        <v>2715</v>
      </c>
      <c r="H434" s="68" t="s">
        <v>3842</v>
      </c>
      <c r="I434" s="62" t="s">
        <v>10</v>
      </c>
      <c r="J434" s="61" t="s">
        <v>250</v>
      </c>
      <c r="K434" s="4">
        <v>1858378</v>
      </c>
      <c r="L434" s="39">
        <v>113.39400000000001</v>
      </c>
      <c r="M434" s="4">
        <v>1984395</v>
      </c>
      <c r="N434" s="4">
        <v>1750000</v>
      </c>
      <c r="O434" s="4">
        <v>1810253</v>
      </c>
      <c r="P434" s="4">
        <v>0</v>
      </c>
      <c r="Q434" s="4">
        <v>-15513</v>
      </c>
      <c r="R434" s="4">
        <v>0</v>
      </c>
      <c r="S434" s="4">
        <v>0</v>
      </c>
      <c r="T434" s="23">
        <v>4.55</v>
      </c>
      <c r="U434" s="23">
        <v>3.5190000000000001</v>
      </c>
      <c r="V434" s="5" t="s">
        <v>3843</v>
      </c>
      <c r="W434" s="4">
        <v>13492</v>
      </c>
      <c r="X434" s="4">
        <v>79625</v>
      </c>
      <c r="Y434" s="11">
        <v>43013</v>
      </c>
      <c r="Z434" s="11">
        <v>45595</v>
      </c>
      <c r="AA434" s="2"/>
      <c r="AB434" s="63" t="s">
        <v>3840</v>
      </c>
      <c r="AC434" s="5" t="s">
        <v>4198</v>
      </c>
      <c r="AD434" s="2"/>
      <c r="AE434" s="11">
        <v>45503</v>
      </c>
      <c r="AF434" s="23">
        <v>100</v>
      </c>
      <c r="AG434" s="11">
        <v>45503</v>
      </c>
      <c r="AH434" s="5" t="s">
        <v>4274</v>
      </c>
      <c r="AI434" s="5" t="s">
        <v>3141</v>
      </c>
      <c r="AJ434" s="5" t="s">
        <v>3</v>
      </c>
      <c r="AK434" s="16" t="s">
        <v>3</v>
      </c>
      <c r="AL434" s="65" t="s">
        <v>3842</v>
      </c>
      <c r="AM434" s="31" t="s">
        <v>1176</v>
      </c>
    </row>
    <row r="435" spans="2:39" x14ac:dyDescent="0.25">
      <c r="B435" s="18" t="s">
        <v>3932</v>
      </c>
      <c r="C435" s="44" t="s">
        <v>983</v>
      </c>
      <c r="D435" s="20" t="s">
        <v>2826</v>
      </c>
      <c r="E435" s="67" t="s">
        <v>3</v>
      </c>
      <c r="F435" s="51" t="s">
        <v>3</v>
      </c>
      <c r="G435" s="37" t="s">
        <v>2715</v>
      </c>
      <c r="H435" s="68" t="s">
        <v>929</v>
      </c>
      <c r="I435" s="62" t="s">
        <v>3310</v>
      </c>
      <c r="J435" s="61" t="s">
        <v>250</v>
      </c>
      <c r="K435" s="4">
        <v>4990150</v>
      </c>
      <c r="L435" s="39">
        <v>107.08799999999999</v>
      </c>
      <c r="M435" s="4">
        <v>5354400</v>
      </c>
      <c r="N435" s="4">
        <v>5000000</v>
      </c>
      <c r="O435" s="4">
        <v>4994917</v>
      </c>
      <c r="P435" s="4">
        <v>0</v>
      </c>
      <c r="Q435" s="4">
        <v>1931</v>
      </c>
      <c r="R435" s="4">
        <v>0</v>
      </c>
      <c r="S435" s="4">
        <v>0</v>
      </c>
      <c r="T435" s="23">
        <v>4</v>
      </c>
      <c r="U435" s="23">
        <v>4.0439999999999996</v>
      </c>
      <c r="V435" s="5" t="s">
        <v>3844</v>
      </c>
      <c r="W435" s="4">
        <v>8889</v>
      </c>
      <c r="X435" s="4">
        <v>200000</v>
      </c>
      <c r="Y435" s="11">
        <v>43255</v>
      </c>
      <c r="Z435" s="11">
        <v>45092</v>
      </c>
      <c r="AA435" s="2"/>
      <c r="AB435" s="63" t="s">
        <v>3840</v>
      </c>
      <c r="AC435" s="5" t="s">
        <v>4198</v>
      </c>
      <c r="AD435" s="2"/>
      <c r="AE435" s="11">
        <v>45061</v>
      </c>
      <c r="AF435" s="23">
        <v>100</v>
      </c>
      <c r="AG435" s="9"/>
      <c r="AH435" s="5" t="s">
        <v>3</v>
      </c>
      <c r="AI435" s="5" t="s">
        <v>2826</v>
      </c>
      <c r="AJ435" s="5" t="s">
        <v>3</v>
      </c>
      <c r="AK435" s="16" t="s">
        <v>3</v>
      </c>
      <c r="AL435" s="65" t="s">
        <v>3842</v>
      </c>
      <c r="AM435" s="31" t="s">
        <v>933</v>
      </c>
    </row>
    <row r="436" spans="2:39" x14ac:dyDescent="0.25">
      <c r="B436" s="18" t="s">
        <v>635</v>
      </c>
      <c r="C436" s="44" t="s">
        <v>1745</v>
      </c>
      <c r="D436" s="20" t="s">
        <v>2827</v>
      </c>
      <c r="E436" s="67" t="s">
        <v>3</v>
      </c>
      <c r="F436" s="51" t="s">
        <v>3</v>
      </c>
      <c r="G436" s="37" t="s">
        <v>2715</v>
      </c>
      <c r="H436" s="68" t="s">
        <v>3842</v>
      </c>
      <c r="I436" s="62" t="s">
        <v>3310</v>
      </c>
      <c r="J436" s="61" t="s">
        <v>250</v>
      </c>
      <c r="K436" s="4">
        <v>5738331</v>
      </c>
      <c r="L436" s="39">
        <v>109.74</v>
      </c>
      <c r="M436" s="4">
        <v>6514166</v>
      </c>
      <c r="N436" s="4">
        <v>5936000</v>
      </c>
      <c r="O436" s="4">
        <v>5775761</v>
      </c>
      <c r="P436" s="4">
        <v>0</v>
      </c>
      <c r="Q436" s="4">
        <v>24854</v>
      </c>
      <c r="R436" s="4">
        <v>0</v>
      </c>
      <c r="S436" s="4">
        <v>0</v>
      </c>
      <c r="T436" s="23">
        <v>2.65</v>
      </c>
      <c r="U436" s="23">
        <v>3.1640000000000001</v>
      </c>
      <c r="V436" s="5" t="s">
        <v>3843</v>
      </c>
      <c r="W436" s="4">
        <v>33209</v>
      </c>
      <c r="X436" s="4">
        <v>157304</v>
      </c>
      <c r="Y436" s="11">
        <v>43641</v>
      </c>
      <c r="Z436" s="11">
        <v>46310</v>
      </c>
      <c r="AA436" s="2"/>
      <c r="AB436" s="63" t="s">
        <v>3840</v>
      </c>
      <c r="AC436" s="5" t="s">
        <v>4198</v>
      </c>
      <c r="AD436" s="2"/>
      <c r="AE436" s="11">
        <v>46218</v>
      </c>
      <c r="AF436" s="23">
        <v>100</v>
      </c>
      <c r="AG436" s="6"/>
      <c r="AH436" s="5" t="s">
        <v>2283</v>
      </c>
      <c r="AI436" s="5" t="s">
        <v>2827</v>
      </c>
      <c r="AJ436" s="5" t="s">
        <v>3</v>
      </c>
      <c r="AK436" s="16" t="s">
        <v>3</v>
      </c>
      <c r="AL436" s="65" t="s">
        <v>3842</v>
      </c>
      <c r="AM436" s="31" t="s">
        <v>1651</v>
      </c>
    </row>
    <row r="437" spans="2:39" x14ac:dyDescent="0.25">
      <c r="B437" s="18" t="s">
        <v>1746</v>
      </c>
      <c r="C437" s="44" t="s">
        <v>3373</v>
      </c>
      <c r="D437" s="20" t="s">
        <v>3142</v>
      </c>
      <c r="E437" s="67" t="s">
        <v>3</v>
      </c>
      <c r="F437" s="51" t="s">
        <v>3</v>
      </c>
      <c r="G437" s="37" t="s">
        <v>2715</v>
      </c>
      <c r="H437" s="68" t="s">
        <v>3842</v>
      </c>
      <c r="I437" s="62" t="s">
        <v>10</v>
      </c>
      <c r="J437" s="61" t="s">
        <v>250</v>
      </c>
      <c r="K437" s="4">
        <v>3029790</v>
      </c>
      <c r="L437" s="39">
        <v>102.988</v>
      </c>
      <c r="M437" s="4">
        <v>3089640</v>
      </c>
      <c r="N437" s="4">
        <v>3000000</v>
      </c>
      <c r="O437" s="4">
        <v>3006689</v>
      </c>
      <c r="P437" s="4">
        <v>0</v>
      </c>
      <c r="Q437" s="4">
        <v>-5989</v>
      </c>
      <c r="R437" s="4">
        <v>0</v>
      </c>
      <c r="S437" s="4">
        <v>0</v>
      </c>
      <c r="T437" s="23">
        <v>3.2</v>
      </c>
      <c r="U437" s="23">
        <v>2.9889999999999999</v>
      </c>
      <c r="V437" s="5" t="s">
        <v>248</v>
      </c>
      <c r="W437" s="4">
        <v>40000</v>
      </c>
      <c r="X437" s="4">
        <v>96000</v>
      </c>
      <c r="Y437" s="11">
        <v>42716</v>
      </c>
      <c r="Z437" s="11">
        <v>44593</v>
      </c>
      <c r="AA437" s="2"/>
      <c r="AB437" s="63" t="s">
        <v>3840</v>
      </c>
      <c r="AC437" s="5" t="s">
        <v>4198</v>
      </c>
      <c r="AD437" s="2"/>
      <c r="AE437" s="9"/>
      <c r="AF437" s="23"/>
      <c r="AG437" s="6"/>
      <c r="AH437" s="5" t="s">
        <v>2054</v>
      </c>
      <c r="AI437" s="5" t="s">
        <v>636</v>
      </c>
      <c r="AJ437" s="5" t="s">
        <v>3374</v>
      </c>
      <c r="AK437" s="16" t="s">
        <v>3</v>
      </c>
      <c r="AL437" s="65" t="s">
        <v>3842</v>
      </c>
      <c r="AM437" s="31" t="s">
        <v>1176</v>
      </c>
    </row>
    <row r="438" spans="2:39" x14ac:dyDescent="0.25">
      <c r="B438" s="18" t="s">
        <v>2828</v>
      </c>
      <c r="C438" s="44" t="s">
        <v>1415</v>
      </c>
      <c r="D438" s="20" t="s">
        <v>3142</v>
      </c>
      <c r="E438" s="67" t="s">
        <v>3</v>
      </c>
      <c r="F438" s="51" t="s">
        <v>3</v>
      </c>
      <c r="G438" s="37" t="s">
        <v>2715</v>
      </c>
      <c r="H438" s="68" t="s">
        <v>3842</v>
      </c>
      <c r="I438" s="62" t="s">
        <v>10</v>
      </c>
      <c r="J438" s="61" t="s">
        <v>250</v>
      </c>
      <c r="K438" s="4">
        <v>6963985</v>
      </c>
      <c r="L438" s="39">
        <v>108.767</v>
      </c>
      <c r="M438" s="4">
        <v>7613690</v>
      </c>
      <c r="N438" s="4">
        <v>7000000</v>
      </c>
      <c r="O438" s="4">
        <v>6976156</v>
      </c>
      <c r="P438" s="4">
        <v>0</v>
      </c>
      <c r="Q438" s="4">
        <v>6010</v>
      </c>
      <c r="R438" s="4">
        <v>0</v>
      </c>
      <c r="S438" s="4">
        <v>0</v>
      </c>
      <c r="T438" s="23">
        <v>3.25</v>
      </c>
      <c r="U438" s="23">
        <v>3.3490000000000002</v>
      </c>
      <c r="V438" s="5" t="s">
        <v>12</v>
      </c>
      <c r="W438" s="4">
        <v>75833</v>
      </c>
      <c r="X438" s="4">
        <v>227500</v>
      </c>
      <c r="Y438" s="11">
        <v>43551</v>
      </c>
      <c r="Z438" s="11">
        <v>45536</v>
      </c>
      <c r="AA438" s="2"/>
      <c r="AB438" s="63" t="s">
        <v>3840</v>
      </c>
      <c r="AC438" s="5" t="s">
        <v>4198</v>
      </c>
      <c r="AD438" s="2"/>
      <c r="AE438" s="11">
        <v>45474</v>
      </c>
      <c r="AF438" s="23">
        <v>100</v>
      </c>
      <c r="AG438" s="6"/>
      <c r="AH438" s="5" t="s">
        <v>2054</v>
      </c>
      <c r="AI438" s="5" t="s">
        <v>636</v>
      </c>
      <c r="AJ438" s="5" t="s">
        <v>3374</v>
      </c>
      <c r="AK438" s="16" t="s">
        <v>3</v>
      </c>
      <c r="AL438" s="65" t="s">
        <v>3842</v>
      </c>
      <c r="AM438" s="31" t="s">
        <v>1176</v>
      </c>
    </row>
    <row r="439" spans="2:39" x14ac:dyDescent="0.25">
      <c r="B439" s="18" t="s">
        <v>3933</v>
      </c>
      <c r="C439" s="44" t="s">
        <v>4275</v>
      </c>
      <c r="D439" s="20" t="s">
        <v>3934</v>
      </c>
      <c r="E439" s="67" t="s">
        <v>3</v>
      </c>
      <c r="F439" s="51" t="s">
        <v>3</v>
      </c>
      <c r="G439" s="37" t="s">
        <v>2715</v>
      </c>
      <c r="H439" s="68" t="s">
        <v>2715</v>
      </c>
      <c r="I439" s="62" t="s">
        <v>1358</v>
      </c>
      <c r="J439" s="61" t="s">
        <v>250</v>
      </c>
      <c r="K439" s="4">
        <v>6052050</v>
      </c>
      <c r="L439" s="39">
        <v>114.447</v>
      </c>
      <c r="M439" s="4">
        <v>6866820</v>
      </c>
      <c r="N439" s="4">
        <v>6000000</v>
      </c>
      <c r="O439" s="4">
        <v>6039811</v>
      </c>
      <c r="P439" s="4">
        <v>0</v>
      </c>
      <c r="Q439" s="4">
        <v>-7122</v>
      </c>
      <c r="R439" s="4">
        <v>0</v>
      </c>
      <c r="S439" s="4">
        <v>0</v>
      </c>
      <c r="T439" s="23">
        <v>3.75</v>
      </c>
      <c r="U439" s="23">
        <v>3.6040000000000001</v>
      </c>
      <c r="V439" s="5" t="s">
        <v>12</v>
      </c>
      <c r="W439" s="4">
        <v>66250</v>
      </c>
      <c r="X439" s="4">
        <v>225000</v>
      </c>
      <c r="Y439" s="11">
        <v>43551</v>
      </c>
      <c r="Z439" s="11">
        <v>46096</v>
      </c>
      <c r="AA439" s="2"/>
      <c r="AB439" s="63" t="s">
        <v>3840</v>
      </c>
      <c r="AC439" s="5" t="s">
        <v>4198</v>
      </c>
      <c r="AD439" s="2"/>
      <c r="AE439" s="10">
        <v>46037</v>
      </c>
      <c r="AF439" s="23">
        <v>100</v>
      </c>
      <c r="AG439" s="10">
        <v>46037</v>
      </c>
      <c r="AH439" s="5" t="s">
        <v>3143</v>
      </c>
      <c r="AI439" s="5" t="s">
        <v>3375</v>
      </c>
      <c r="AJ439" s="5" t="s">
        <v>3935</v>
      </c>
      <c r="AK439" s="16" t="s">
        <v>3</v>
      </c>
      <c r="AL439" s="65" t="s">
        <v>3842</v>
      </c>
      <c r="AM439" s="31" t="s">
        <v>559</v>
      </c>
    </row>
    <row r="440" spans="2:39" x14ac:dyDescent="0.25">
      <c r="B440" s="18" t="s">
        <v>637</v>
      </c>
      <c r="C440" s="44" t="s">
        <v>984</v>
      </c>
      <c r="D440" s="20" t="s">
        <v>4276</v>
      </c>
      <c r="E440" s="67" t="s">
        <v>3</v>
      </c>
      <c r="F440" s="51" t="s">
        <v>3</v>
      </c>
      <c r="G440" s="37" t="s">
        <v>2715</v>
      </c>
      <c r="H440" s="68" t="s">
        <v>3842</v>
      </c>
      <c r="I440" s="62" t="s">
        <v>1157</v>
      </c>
      <c r="J440" s="61" t="s">
        <v>250</v>
      </c>
      <c r="K440" s="4">
        <v>4962010</v>
      </c>
      <c r="L440" s="39">
        <v>108.935</v>
      </c>
      <c r="M440" s="4">
        <v>5446750</v>
      </c>
      <c r="N440" s="4">
        <v>5000000</v>
      </c>
      <c r="O440" s="4">
        <v>4974699</v>
      </c>
      <c r="P440" s="4">
        <v>0</v>
      </c>
      <c r="Q440" s="4">
        <v>5713</v>
      </c>
      <c r="R440" s="4">
        <v>0</v>
      </c>
      <c r="S440" s="4">
        <v>0</v>
      </c>
      <c r="T440" s="23">
        <v>3.8</v>
      </c>
      <c r="U440" s="23">
        <v>3.9380000000000002</v>
      </c>
      <c r="V440" s="5" t="s">
        <v>3312</v>
      </c>
      <c r="W440" s="4">
        <v>24278</v>
      </c>
      <c r="X440" s="4">
        <v>190000</v>
      </c>
      <c r="Y440" s="11">
        <v>43553</v>
      </c>
      <c r="Z440" s="11">
        <v>45611</v>
      </c>
      <c r="AA440" s="2"/>
      <c r="AB440" s="63" t="s">
        <v>3840</v>
      </c>
      <c r="AC440" s="5" t="s">
        <v>4198</v>
      </c>
      <c r="AD440" s="2"/>
      <c r="AE440" s="11">
        <v>45519</v>
      </c>
      <c r="AF440" s="23">
        <v>100</v>
      </c>
      <c r="AG440" s="10">
        <v>45519</v>
      </c>
      <c r="AH440" s="5" t="s">
        <v>3144</v>
      </c>
      <c r="AI440" s="5" t="s">
        <v>79</v>
      </c>
      <c r="AJ440" s="5" t="s">
        <v>79</v>
      </c>
      <c r="AK440" s="16" t="s">
        <v>3</v>
      </c>
      <c r="AL440" s="65" t="s">
        <v>3842</v>
      </c>
      <c r="AM440" s="31" t="s">
        <v>926</v>
      </c>
    </row>
    <row r="441" spans="2:39" x14ac:dyDescent="0.25">
      <c r="B441" s="18" t="s">
        <v>2055</v>
      </c>
      <c r="C441" s="44" t="s">
        <v>80</v>
      </c>
      <c r="D441" s="20" t="s">
        <v>638</v>
      </c>
      <c r="E441" s="67" t="s">
        <v>3</v>
      </c>
      <c r="F441" s="51" t="s">
        <v>3</v>
      </c>
      <c r="G441" s="37" t="s">
        <v>2715</v>
      </c>
      <c r="H441" s="68" t="s">
        <v>3842</v>
      </c>
      <c r="I441" s="62" t="s">
        <v>1157</v>
      </c>
      <c r="J441" s="61" t="s">
        <v>250</v>
      </c>
      <c r="K441" s="4">
        <v>996420</v>
      </c>
      <c r="L441" s="39">
        <v>111.79600000000001</v>
      </c>
      <c r="M441" s="4">
        <v>1117960</v>
      </c>
      <c r="N441" s="4">
        <v>1000000</v>
      </c>
      <c r="O441" s="4">
        <v>996842</v>
      </c>
      <c r="P441" s="4">
        <v>0</v>
      </c>
      <c r="Q441" s="4">
        <v>422</v>
      </c>
      <c r="R441" s="4">
        <v>0</v>
      </c>
      <c r="S441" s="4">
        <v>0</v>
      </c>
      <c r="T441" s="23">
        <v>3.625</v>
      </c>
      <c r="U441" s="23">
        <v>3.7040000000000002</v>
      </c>
      <c r="V441" s="5" t="s">
        <v>3312</v>
      </c>
      <c r="W441" s="4">
        <v>4632</v>
      </c>
      <c r="X441" s="4">
        <v>18427</v>
      </c>
      <c r="Y441" s="11">
        <v>43958</v>
      </c>
      <c r="Z441" s="11">
        <v>45792</v>
      </c>
      <c r="AA441" s="2"/>
      <c r="AB441" s="63" t="s">
        <v>3840</v>
      </c>
      <c r="AC441" s="5" t="s">
        <v>4198</v>
      </c>
      <c r="AD441" s="2"/>
      <c r="AE441" s="10">
        <v>45762</v>
      </c>
      <c r="AF441" s="23">
        <v>100</v>
      </c>
      <c r="AG441" s="6"/>
      <c r="AH441" s="5" t="s">
        <v>3614</v>
      </c>
      <c r="AI441" s="5" t="s">
        <v>2284</v>
      </c>
      <c r="AJ441" s="5" t="s">
        <v>928</v>
      </c>
      <c r="AK441" s="16" t="s">
        <v>3</v>
      </c>
      <c r="AL441" s="65" t="s">
        <v>3842</v>
      </c>
      <c r="AM441" s="31" t="s">
        <v>926</v>
      </c>
    </row>
    <row r="442" spans="2:39" x14ac:dyDescent="0.25">
      <c r="B442" s="18" t="s">
        <v>3145</v>
      </c>
      <c r="C442" s="44" t="s">
        <v>3376</v>
      </c>
      <c r="D442" s="20" t="s">
        <v>81</v>
      </c>
      <c r="E442" s="67" t="s">
        <v>3</v>
      </c>
      <c r="F442" s="51" t="s">
        <v>3</v>
      </c>
      <c r="G442" s="37" t="s">
        <v>2715</v>
      </c>
      <c r="H442" s="68" t="s">
        <v>929</v>
      </c>
      <c r="I442" s="62" t="s">
        <v>10</v>
      </c>
      <c r="J442" s="61" t="s">
        <v>250</v>
      </c>
      <c r="K442" s="4">
        <v>2000000</v>
      </c>
      <c r="L442" s="39">
        <v>104.14400000000001</v>
      </c>
      <c r="M442" s="4">
        <v>2082880</v>
      </c>
      <c r="N442" s="4">
        <v>2000000</v>
      </c>
      <c r="O442" s="4">
        <v>2000000</v>
      </c>
      <c r="P442" s="4">
        <v>0</v>
      </c>
      <c r="Q442" s="4">
        <v>0</v>
      </c>
      <c r="R442" s="4">
        <v>0</v>
      </c>
      <c r="S442" s="4">
        <v>0</v>
      </c>
      <c r="T442" s="23">
        <v>4.625</v>
      </c>
      <c r="U442" s="23">
        <v>4.625</v>
      </c>
      <c r="V442" s="5" t="s">
        <v>12</v>
      </c>
      <c r="W442" s="4">
        <v>27236</v>
      </c>
      <c r="X442" s="4">
        <v>89931</v>
      </c>
      <c r="Y442" s="11">
        <v>43719</v>
      </c>
      <c r="Z442" s="11">
        <v>46645</v>
      </c>
      <c r="AA442" s="2"/>
      <c r="AB442" s="63" t="s">
        <v>3840</v>
      </c>
      <c r="AC442" s="5" t="s">
        <v>4198</v>
      </c>
      <c r="AD442" s="2"/>
      <c r="AE442" s="10">
        <v>44819</v>
      </c>
      <c r="AF442" s="23">
        <v>102.313</v>
      </c>
      <c r="AG442" s="6"/>
      <c r="AH442" s="5" t="s">
        <v>82</v>
      </c>
      <c r="AI442" s="5" t="s">
        <v>2056</v>
      </c>
      <c r="AJ442" s="5" t="s">
        <v>928</v>
      </c>
      <c r="AK442" s="16" t="s">
        <v>3</v>
      </c>
      <c r="AL442" s="65" t="s">
        <v>3842</v>
      </c>
      <c r="AM442" s="31" t="s">
        <v>586</v>
      </c>
    </row>
    <row r="443" spans="2:39" x14ac:dyDescent="0.25">
      <c r="B443" s="18" t="s">
        <v>4277</v>
      </c>
      <c r="C443" s="44" t="s">
        <v>3377</v>
      </c>
      <c r="D443" s="20" t="s">
        <v>2829</v>
      </c>
      <c r="E443" s="67" t="s">
        <v>3</v>
      </c>
      <c r="F443" s="51" t="s">
        <v>3</v>
      </c>
      <c r="G443" s="37" t="s">
        <v>2715</v>
      </c>
      <c r="H443" s="68" t="s">
        <v>929</v>
      </c>
      <c r="I443" s="62" t="s">
        <v>10</v>
      </c>
      <c r="J443" s="61" t="s">
        <v>250</v>
      </c>
      <c r="K443" s="4">
        <v>2009041</v>
      </c>
      <c r="L443" s="39">
        <v>102.73099999999999</v>
      </c>
      <c r="M443" s="4">
        <v>2054620</v>
      </c>
      <c r="N443" s="4">
        <v>2000000</v>
      </c>
      <c r="O443" s="4">
        <v>2007957</v>
      </c>
      <c r="P443" s="4">
        <v>0</v>
      </c>
      <c r="Q443" s="4">
        <v>-1084</v>
      </c>
      <c r="R443" s="4">
        <v>0</v>
      </c>
      <c r="S443" s="4">
        <v>0</v>
      </c>
      <c r="T443" s="23">
        <v>5</v>
      </c>
      <c r="U443" s="23">
        <v>4.8179999999999996</v>
      </c>
      <c r="V443" s="5" t="s">
        <v>3312</v>
      </c>
      <c r="W443" s="4">
        <v>16667</v>
      </c>
      <c r="X443" s="4">
        <v>50000</v>
      </c>
      <c r="Y443" s="11">
        <v>44056</v>
      </c>
      <c r="Z443" s="11">
        <v>45778</v>
      </c>
      <c r="AA443" s="2"/>
      <c r="AB443" s="63" t="s">
        <v>3840</v>
      </c>
      <c r="AC443" s="5" t="s">
        <v>4198</v>
      </c>
      <c r="AD443" s="2"/>
      <c r="AE443" s="11">
        <v>45047</v>
      </c>
      <c r="AF443" s="23">
        <v>100</v>
      </c>
      <c r="AG443" s="11">
        <v>45047</v>
      </c>
      <c r="AH443" s="5" t="s">
        <v>3936</v>
      </c>
      <c r="AI443" s="5" t="s">
        <v>2829</v>
      </c>
      <c r="AJ443" s="5" t="s">
        <v>3</v>
      </c>
      <c r="AK443" s="16" t="s">
        <v>3</v>
      </c>
      <c r="AL443" s="65" t="s">
        <v>3842</v>
      </c>
      <c r="AM443" s="31" t="s">
        <v>586</v>
      </c>
    </row>
    <row r="444" spans="2:39" x14ac:dyDescent="0.25">
      <c r="B444" s="18" t="s">
        <v>1747</v>
      </c>
      <c r="C444" s="44" t="s">
        <v>3378</v>
      </c>
      <c r="D444" s="20" t="s">
        <v>639</v>
      </c>
      <c r="E444" s="67" t="s">
        <v>3</v>
      </c>
      <c r="F444" s="51" t="s">
        <v>3</v>
      </c>
      <c r="G444" s="37" t="s">
        <v>3</v>
      </c>
      <c r="H444" s="68" t="s">
        <v>3842</v>
      </c>
      <c r="I444" s="62" t="s">
        <v>10</v>
      </c>
      <c r="J444" s="61" t="s">
        <v>250</v>
      </c>
      <c r="K444" s="4">
        <v>5262900</v>
      </c>
      <c r="L444" s="39">
        <v>108.726</v>
      </c>
      <c r="M444" s="4">
        <v>5436300</v>
      </c>
      <c r="N444" s="4">
        <v>5000000</v>
      </c>
      <c r="O444" s="4">
        <v>5105939</v>
      </c>
      <c r="P444" s="4">
        <v>0</v>
      </c>
      <c r="Q444" s="4">
        <v>-40737</v>
      </c>
      <c r="R444" s="4">
        <v>0</v>
      </c>
      <c r="S444" s="4">
        <v>0</v>
      </c>
      <c r="T444" s="23">
        <v>4.25</v>
      </c>
      <c r="U444" s="23">
        <v>3.3439999999999999</v>
      </c>
      <c r="V444" s="5" t="s">
        <v>3844</v>
      </c>
      <c r="W444" s="4">
        <v>9444</v>
      </c>
      <c r="X444" s="4">
        <v>212500</v>
      </c>
      <c r="Y444" s="11">
        <v>42712</v>
      </c>
      <c r="Z444" s="11">
        <v>45092</v>
      </c>
      <c r="AA444" s="2"/>
      <c r="AB444" s="63" t="s">
        <v>3840</v>
      </c>
      <c r="AC444" s="5" t="s">
        <v>4198</v>
      </c>
      <c r="AD444" s="2"/>
      <c r="AE444" s="6"/>
      <c r="AF444" s="23"/>
      <c r="AG444" s="6"/>
      <c r="AH444" s="5" t="s">
        <v>4278</v>
      </c>
      <c r="AI444" s="5" t="s">
        <v>3615</v>
      </c>
      <c r="AJ444" s="5" t="s">
        <v>3615</v>
      </c>
      <c r="AK444" s="16" t="s">
        <v>3</v>
      </c>
      <c r="AL444" s="65" t="s">
        <v>2715</v>
      </c>
      <c r="AM444" s="31" t="s">
        <v>1176</v>
      </c>
    </row>
    <row r="445" spans="2:39" x14ac:dyDescent="0.25">
      <c r="B445" s="18" t="s">
        <v>2830</v>
      </c>
      <c r="C445" s="44" t="s">
        <v>2057</v>
      </c>
      <c r="D445" s="20" t="s">
        <v>340</v>
      </c>
      <c r="E445" s="67" t="s">
        <v>3</v>
      </c>
      <c r="F445" s="51" t="s">
        <v>3</v>
      </c>
      <c r="G445" s="37" t="s">
        <v>3</v>
      </c>
      <c r="H445" s="68" t="s">
        <v>3842</v>
      </c>
      <c r="I445" s="62" t="s">
        <v>3310</v>
      </c>
      <c r="J445" s="61" t="s">
        <v>250</v>
      </c>
      <c r="K445" s="4">
        <v>7098070</v>
      </c>
      <c r="L445" s="39">
        <v>103.248</v>
      </c>
      <c r="M445" s="4">
        <v>7227360</v>
      </c>
      <c r="N445" s="4">
        <v>7000000</v>
      </c>
      <c r="O445" s="4">
        <v>7050835</v>
      </c>
      <c r="P445" s="4">
        <v>0</v>
      </c>
      <c r="Q445" s="4">
        <v>-37034</v>
      </c>
      <c r="R445" s="4">
        <v>0</v>
      </c>
      <c r="S445" s="4">
        <v>0</v>
      </c>
      <c r="T445" s="23">
        <v>3.3</v>
      </c>
      <c r="U445" s="23">
        <v>2.74</v>
      </c>
      <c r="V445" s="5" t="s">
        <v>3843</v>
      </c>
      <c r="W445" s="4">
        <v>39142</v>
      </c>
      <c r="X445" s="4">
        <v>231000</v>
      </c>
      <c r="Y445" s="11">
        <v>43714</v>
      </c>
      <c r="Z445" s="11">
        <v>44681</v>
      </c>
      <c r="AA445" s="2"/>
      <c r="AB445" s="63" t="s">
        <v>2748</v>
      </c>
      <c r="AC445" s="5" t="s">
        <v>3</v>
      </c>
      <c r="AD445" s="2"/>
      <c r="AE445" s="6"/>
      <c r="AF445" s="23"/>
      <c r="AG445" s="6"/>
      <c r="AH445" s="5" t="s">
        <v>3</v>
      </c>
      <c r="AI445" s="5" t="s">
        <v>340</v>
      </c>
      <c r="AJ445" s="5" t="s">
        <v>3</v>
      </c>
      <c r="AK445" s="16" t="s">
        <v>3</v>
      </c>
      <c r="AL445" s="65" t="s">
        <v>3842</v>
      </c>
      <c r="AM445" s="31" t="s">
        <v>1651</v>
      </c>
    </row>
    <row r="446" spans="2:39" x14ac:dyDescent="0.25">
      <c r="B446" s="18" t="s">
        <v>3937</v>
      </c>
      <c r="C446" s="44" t="s">
        <v>2058</v>
      </c>
      <c r="D446" s="20" t="s">
        <v>340</v>
      </c>
      <c r="E446" s="67" t="s">
        <v>3</v>
      </c>
      <c r="F446" s="51" t="s">
        <v>3</v>
      </c>
      <c r="G446" s="37" t="s">
        <v>3</v>
      </c>
      <c r="H446" s="68" t="s">
        <v>3842</v>
      </c>
      <c r="I446" s="62" t="s">
        <v>3310</v>
      </c>
      <c r="J446" s="61" t="s">
        <v>3</v>
      </c>
      <c r="K446" s="4">
        <v>8076560</v>
      </c>
      <c r="L446" s="39">
        <v>110</v>
      </c>
      <c r="M446" s="4">
        <v>8800000</v>
      </c>
      <c r="N446" s="4">
        <v>8000000</v>
      </c>
      <c r="O446" s="4">
        <v>8062470</v>
      </c>
      <c r="P446" s="4">
        <v>0</v>
      </c>
      <c r="Q446" s="4">
        <v>-8578</v>
      </c>
      <c r="R446" s="4">
        <v>0</v>
      </c>
      <c r="S446" s="4">
        <v>0</v>
      </c>
      <c r="T446" s="23">
        <v>3.94</v>
      </c>
      <c r="U446" s="23">
        <v>3.8</v>
      </c>
      <c r="V446" s="5" t="s">
        <v>3843</v>
      </c>
      <c r="W446" s="4">
        <v>53409</v>
      </c>
      <c r="X446" s="4">
        <v>315200</v>
      </c>
      <c r="Y446" s="11">
        <v>43587</v>
      </c>
      <c r="Z446" s="11">
        <v>46507</v>
      </c>
      <c r="AA446" s="2"/>
      <c r="AB446" s="63" t="s">
        <v>2748</v>
      </c>
      <c r="AC446" s="5" t="s">
        <v>3</v>
      </c>
      <c r="AD446" s="2"/>
      <c r="AE446" s="6"/>
      <c r="AF446" s="23"/>
      <c r="AG446" s="6"/>
      <c r="AH446" s="5" t="s">
        <v>3</v>
      </c>
      <c r="AI446" s="5" t="s">
        <v>340</v>
      </c>
      <c r="AJ446" s="5" t="s">
        <v>3</v>
      </c>
      <c r="AK446" s="16" t="s">
        <v>3</v>
      </c>
      <c r="AL446" s="65" t="s">
        <v>3842</v>
      </c>
      <c r="AM446" s="31" t="s">
        <v>309</v>
      </c>
    </row>
    <row r="447" spans="2:39" x14ac:dyDescent="0.25">
      <c r="B447" s="18" t="s">
        <v>640</v>
      </c>
      <c r="C447" s="44" t="s">
        <v>3146</v>
      </c>
      <c r="D447" s="20" t="s">
        <v>4279</v>
      </c>
      <c r="E447" s="67" t="s">
        <v>3</v>
      </c>
      <c r="F447" s="51" t="s">
        <v>3</v>
      </c>
      <c r="G447" s="37" t="s">
        <v>2715</v>
      </c>
      <c r="H447" s="68" t="s">
        <v>3842</v>
      </c>
      <c r="I447" s="62" t="s">
        <v>3310</v>
      </c>
      <c r="J447" s="61" t="s">
        <v>250</v>
      </c>
      <c r="K447" s="4">
        <v>8295580</v>
      </c>
      <c r="L447" s="39">
        <v>109.13500000000001</v>
      </c>
      <c r="M447" s="4">
        <v>8730800</v>
      </c>
      <c r="N447" s="4">
        <v>8000000</v>
      </c>
      <c r="O447" s="4">
        <v>8128785</v>
      </c>
      <c r="P447" s="4">
        <v>0</v>
      </c>
      <c r="Q447" s="4">
        <v>-45435</v>
      </c>
      <c r="R447" s="4">
        <v>0</v>
      </c>
      <c r="S447" s="4">
        <v>0</v>
      </c>
      <c r="T447" s="23">
        <v>4</v>
      </c>
      <c r="U447" s="23">
        <v>3.3639999999999999</v>
      </c>
      <c r="V447" s="5" t="s">
        <v>12</v>
      </c>
      <c r="W447" s="4">
        <v>106667</v>
      </c>
      <c r="X447" s="4">
        <v>320000</v>
      </c>
      <c r="Y447" s="11">
        <v>43138</v>
      </c>
      <c r="Z447" s="11">
        <v>45170</v>
      </c>
      <c r="AA447" s="2"/>
      <c r="AB447" s="63" t="s">
        <v>3840</v>
      </c>
      <c r="AC447" s="5" t="s">
        <v>4198</v>
      </c>
      <c r="AD447" s="2"/>
      <c r="AE447" s="6"/>
      <c r="AF447" s="23"/>
      <c r="AG447" s="6"/>
      <c r="AH447" s="5" t="s">
        <v>341</v>
      </c>
      <c r="AI447" s="5" t="s">
        <v>2511</v>
      </c>
      <c r="AJ447" s="5" t="s">
        <v>1416</v>
      </c>
      <c r="AK447" s="16" t="s">
        <v>3</v>
      </c>
      <c r="AL447" s="65" t="s">
        <v>3842</v>
      </c>
      <c r="AM447" s="31" t="s">
        <v>1651</v>
      </c>
    </row>
    <row r="448" spans="2:39" x14ac:dyDescent="0.25">
      <c r="B448" s="18" t="s">
        <v>1748</v>
      </c>
      <c r="C448" s="44" t="s">
        <v>641</v>
      </c>
      <c r="D448" s="20" t="s">
        <v>3379</v>
      </c>
      <c r="E448" s="67" t="s">
        <v>3</v>
      </c>
      <c r="F448" s="51" t="s">
        <v>3</v>
      </c>
      <c r="G448" s="37" t="s">
        <v>2715</v>
      </c>
      <c r="H448" s="68" t="s">
        <v>2715</v>
      </c>
      <c r="I448" s="62" t="s">
        <v>1358</v>
      </c>
      <c r="J448" s="61" t="s">
        <v>250</v>
      </c>
      <c r="K448" s="4">
        <v>4938300</v>
      </c>
      <c r="L448" s="39">
        <v>113.631</v>
      </c>
      <c r="M448" s="4">
        <v>5681550</v>
      </c>
      <c r="N448" s="4">
        <v>5000000</v>
      </c>
      <c r="O448" s="4">
        <v>4956911</v>
      </c>
      <c r="P448" s="4">
        <v>0</v>
      </c>
      <c r="Q448" s="4">
        <v>7636</v>
      </c>
      <c r="R448" s="4">
        <v>0</v>
      </c>
      <c r="S448" s="4">
        <v>0</v>
      </c>
      <c r="T448" s="23">
        <v>3.55</v>
      </c>
      <c r="U448" s="23">
        <v>3.7389999999999999</v>
      </c>
      <c r="V448" s="5" t="s">
        <v>1982</v>
      </c>
      <c r="W448" s="4">
        <v>81847</v>
      </c>
      <c r="X448" s="4">
        <v>177500</v>
      </c>
      <c r="Y448" s="11">
        <v>43278</v>
      </c>
      <c r="Z448" s="11">
        <v>46037</v>
      </c>
      <c r="AA448" s="2"/>
      <c r="AB448" s="63" t="s">
        <v>3840</v>
      </c>
      <c r="AC448" s="5" t="s">
        <v>4198</v>
      </c>
      <c r="AD448" s="2"/>
      <c r="AE448" s="10">
        <v>45945</v>
      </c>
      <c r="AF448" s="23">
        <v>100</v>
      </c>
      <c r="AG448" s="6"/>
      <c r="AH448" s="5" t="s">
        <v>2512</v>
      </c>
      <c r="AI448" s="5" t="s">
        <v>3379</v>
      </c>
      <c r="AJ448" s="5" t="s">
        <v>3</v>
      </c>
      <c r="AK448" s="16" t="s">
        <v>3</v>
      </c>
      <c r="AL448" s="65" t="s">
        <v>3842</v>
      </c>
      <c r="AM448" s="31" t="s">
        <v>559</v>
      </c>
    </row>
    <row r="449" spans="2:39" x14ac:dyDescent="0.25">
      <c r="B449" s="18" t="s">
        <v>2831</v>
      </c>
      <c r="C449" s="44" t="s">
        <v>985</v>
      </c>
      <c r="D449" s="20" t="s">
        <v>1213</v>
      </c>
      <c r="E449" s="67" t="s">
        <v>3</v>
      </c>
      <c r="F449" s="51" t="s">
        <v>3</v>
      </c>
      <c r="G449" s="37" t="s">
        <v>2715</v>
      </c>
      <c r="H449" s="68" t="s">
        <v>3842</v>
      </c>
      <c r="I449" s="62" t="s">
        <v>3310</v>
      </c>
      <c r="J449" s="61" t="s">
        <v>250</v>
      </c>
      <c r="K449" s="4">
        <v>9179283</v>
      </c>
      <c r="L449" s="39">
        <v>100.59399999999999</v>
      </c>
      <c r="M449" s="4">
        <v>9241570</v>
      </c>
      <c r="N449" s="4">
        <v>9187000</v>
      </c>
      <c r="O449" s="4">
        <v>9179363</v>
      </c>
      <c r="P449" s="4">
        <v>0</v>
      </c>
      <c r="Q449" s="4">
        <v>80</v>
      </c>
      <c r="R449" s="4">
        <v>0</v>
      </c>
      <c r="S449" s="4">
        <v>0</v>
      </c>
      <c r="T449" s="23">
        <v>1.3</v>
      </c>
      <c r="U449" s="23">
        <v>1.3120000000000001</v>
      </c>
      <c r="V449" s="5" t="s">
        <v>3843</v>
      </c>
      <c r="W449" s="4">
        <v>22891</v>
      </c>
      <c r="X449" s="4">
        <v>0</v>
      </c>
      <c r="Y449" s="11">
        <v>44167</v>
      </c>
      <c r="Z449" s="11">
        <v>46858</v>
      </c>
      <c r="AA449" s="2"/>
      <c r="AB449" s="63" t="s">
        <v>3840</v>
      </c>
      <c r="AC449" s="5" t="s">
        <v>4198</v>
      </c>
      <c r="AD449" s="2"/>
      <c r="AE449" s="11">
        <v>46798</v>
      </c>
      <c r="AF449" s="23">
        <v>100</v>
      </c>
      <c r="AG449" s="6"/>
      <c r="AH449" s="5" t="s">
        <v>2059</v>
      </c>
      <c r="AI449" s="5" t="s">
        <v>1213</v>
      </c>
      <c r="AJ449" s="5" t="s">
        <v>3</v>
      </c>
      <c r="AK449" s="16" t="s">
        <v>3</v>
      </c>
      <c r="AL449" s="65" t="s">
        <v>3842</v>
      </c>
      <c r="AM449" s="31" t="s">
        <v>1651</v>
      </c>
    </row>
    <row r="450" spans="2:39" x14ac:dyDescent="0.25">
      <c r="B450" s="18" t="s">
        <v>4280</v>
      </c>
      <c r="C450" s="44" t="s">
        <v>2285</v>
      </c>
      <c r="D450" s="20" t="s">
        <v>986</v>
      </c>
      <c r="E450" s="67" t="s">
        <v>3</v>
      </c>
      <c r="F450" s="51" t="s">
        <v>3</v>
      </c>
      <c r="G450" s="37" t="s">
        <v>3842</v>
      </c>
      <c r="H450" s="68" t="s">
        <v>2715</v>
      </c>
      <c r="I450" s="62" t="s">
        <v>1358</v>
      </c>
      <c r="J450" s="61" t="s">
        <v>250</v>
      </c>
      <c r="K450" s="4">
        <v>3096060</v>
      </c>
      <c r="L450" s="39">
        <v>107.872</v>
      </c>
      <c r="M450" s="4">
        <v>3236160</v>
      </c>
      <c r="N450" s="4">
        <v>3000000</v>
      </c>
      <c r="O450" s="4">
        <v>3057639</v>
      </c>
      <c r="P450" s="4">
        <v>0</v>
      </c>
      <c r="Q450" s="4">
        <v>-22084</v>
      </c>
      <c r="R450" s="4">
        <v>0</v>
      </c>
      <c r="S450" s="4">
        <v>0</v>
      </c>
      <c r="T450" s="23">
        <v>3.55</v>
      </c>
      <c r="U450" s="23">
        <v>2.746</v>
      </c>
      <c r="V450" s="5" t="s">
        <v>1982</v>
      </c>
      <c r="W450" s="4">
        <v>45854</v>
      </c>
      <c r="X450" s="4">
        <v>106500</v>
      </c>
      <c r="Y450" s="11">
        <v>43551</v>
      </c>
      <c r="Z450" s="11">
        <v>45133</v>
      </c>
      <c r="AA450" s="2"/>
      <c r="AB450" s="63" t="s">
        <v>3840</v>
      </c>
      <c r="AC450" s="5" t="s">
        <v>4198</v>
      </c>
      <c r="AD450" s="2"/>
      <c r="AE450" s="11">
        <v>45103</v>
      </c>
      <c r="AF450" s="23">
        <v>100</v>
      </c>
      <c r="AG450" s="11">
        <v>45103</v>
      </c>
      <c r="AH450" s="5" t="s">
        <v>3</v>
      </c>
      <c r="AI450" s="5" t="s">
        <v>2832</v>
      </c>
      <c r="AJ450" s="5" t="s">
        <v>2832</v>
      </c>
      <c r="AK450" s="16" t="s">
        <v>3</v>
      </c>
      <c r="AL450" s="65" t="s">
        <v>3842</v>
      </c>
      <c r="AM450" s="31" t="s">
        <v>559</v>
      </c>
    </row>
    <row r="451" spans="2:39" x14ac:dyDescent="0.25">
      <c r="B451" s="18" t="s">
        <v>987</v>
      </c>
      <c r="C451" s="44" t="s">
        <v>988</v>
      </c>
      <c r="D451" s="20" t="s">
        <v>342</v>
      </c>
      <c r="E451" s="67" t="s">
        <v>3</v>
      </c>
      <c r="F451" s="51" t="s">
        <v>3</v>
      </c>
      <c r="G451" s="37" t="s">
        <v>2715</v>
      </c>
      <c r="H451" s="68" t="s">
        <v>3842</v>
      </c>
      <c r="I451" s="62" t="s">
        <v>10</v>
      </c>
      <c r="J451" s="61" t="s">
        <v>250</v>
      </c>
      <c r="K451" s="4">
        <v>6107420</v>
      </c>
      <c r="L451" s="39">
        <v>111.52</v>
      </c>
      <c r="M451" s="4">
        <v>6691200</v>
      </c>
      <c r="N451" s="4">
        <v>6000000</v>
      </c>
      <c r="O451" s="4">
        <v>6064321</v>
      </c>
      <c r="P451" s="4">
        <v>0</v>
      </c>
      <c r="Q451" s="4">
        <v>-15085</v>
      </c>
      <c r="R451" s="4">
        <v>0</v>
      </c>
      <c r="S451" s="4">
        <v>0</v>
      </c>
      <c r="T451" s="23">
        <v>4</v>
      </c>
      <c r="U451" s="23">
        <v>3.7010000000000001</v>
      </c>
      <c r="V451" s="5" t="s">
        <v>248</v>
      </c>
      <c r="W451" s="4">
        <v>90667</v>
      </c>
      <c r="X451" s="4">
        <v>240000</v>
      </c>
      <c r="Y451" s="11">
        <v>43553</v>
      </c>
      <c r="Z451" s="11">
        <v>45703</v>
      </c>
      <c r="AA451" s="2"/>
      <c r="AB451" s="63" t="s">
        <v>3840</v>
      </c>
      <c r="AC451" s="5" t="s">
        <v>4198</v>
      </c>
      <c r="AD451" s="2"/>
      <c r="AE451" s="10">
        <v>45611</v>
      </c>
      <c r="AF451" s="23">
        <v>100</v>
      </c>
      <c r="AG451" s="10">
        <v>45611</v>
      </c>
      <c r="AH451" s="5" t="s">
        <v>1749</v>
      </c>
      <c r="AI451" s="5" t="s">
        <v>342</v>
      </c>
      <c r="AJ451" s="5" t="s">
        <v>3</v>
      </c>
      <c r="AK451" s="16" t="s">
        <v>3</v>
      </c>
      <c r="AL451" s="65" t="s">
        <v>3842</v>
      </c>
      <c r="AM451" s="31" t="s">
        <v>1176</v>
      </c>
    </row>
    <row r="452" spans="2:39" x14ac:dyDescent="0.25">
      <c r="B452" s="18" t="s">
        <v>2060</v>
      </c>
      <c r="C452" s="44" t="s">
        <v>4281</v>
      </c>
      <c r="D452" s="20" t="s">
        <v>342</v>
      </c>
      <c r="E452" s="67" t="s">
        <v>3</v>
      </c>
      <c r="F452" s="51" t="s">
        <v>3</v>
      </c>
      <c r="G452" s="37" t="s">
        <v>2715</v>
      </c>
      <c r="H452" s="68" t="s">
        <v>3842</v>
      </c>
      <c r="I452" s="62" t="s">
        <v>10</v>
      </c>
      <c r="J452" s="61" t="s">
        <v>250</v>
      </c>
      <c r="K452" s="4">
        <v>2997930</v>
      </c>
      <c r="L452" s="39">
        <v>105.84</v>
      </c>
      <c r="M452" s="4">
        <v>3175200</v>
      </c>
      <c r="N452" s="4">
        <v>3000000</v>
      </c>
      <c r="O452" s="4">
        <v>2999109</v>
      </c>
      <c r="P452" s="4">
        <v>0</v>
      </c>
      <c r="Q452" s="4">
        <v>383</v>
      </c>
      <c r="R452" s="4">
        <v>0</v>
      </c>
      <c r="S452" s="4">
        <v>0</v>
      </c>
      <c r="T452" s="23">
        <v>3.375</v>
      </c>
      <c r="U452" s="23">
        <v>3.3889999999999998</v>
      </c>
      <c r="V452" s="5" t="s">
        <v>12</v>
      </c>
      <c r="W452" s="4">
        <v>29813</v>
      </c>
      <c r="X452" s="4">
        <v>101250</v>
      </c>
      <c r="Y452" s="11">
        <v>43136</v>
      </c>
      <c r="Z452" s="11">
        <v>45000</v>
      </c>
      <c r="AA452" s="2"/>
      <c r="AB452" s="63" t="s">
        <v>3840</v>
      </c>
      <c r="AC452" s="5" t="s">
        <v>4198</v>
      </c>
      <c r="AD452" s="2"/>
      <c r="AE452" s="10">
        <v>44972</v>
      </c>
      <c r="AF452" s="23">
        <v>100</v>
      </c>
      <c r="AG452" s="6"/>
      <c r="AH452" s="5" t="s">
        <v>1749</v>
      </c>
      <c r="AI452" s="5" t="s">
        <v>342</v>
      </c>
      <c r="AJ452" s="5" t="s">
        <v>3</v>
      </c>
      <c r="AK452" s="16" t="s">
        <v>3</v>
      </c>
      <c r="AL452" s="65" t="s">
        <v>3842</v>
      </c>
      <c r="AM452" s="31" t="s">
        <v>1176</v>
      </c>
    </row>
    <row r="453" spans="2:39" x14ac:dyDescent="0.25">
      <c r="B453" s="18" t="s">
        <v>3147</v>
      </c>
      <c r="C453" s="44" t="s">
        <v>1750</v>
      </c>
      <c r="D453" s="20" t="s">
        <v>342</v>
      </c>
      <c r="E453" s="67" t="s">
        <v>3</v>
      </c>
      <c r="F453" s="51" t="s">
        <v>3</v>
      </c>
      <c r="G453" s="37" t="s">
        <v>2715</v>
      </c>
      <c r="H453" s="68" t="s">
        <v>3842</v>
      </c>
      <c r="I453" s="62" t="s">
        <v>10</v>
      </c>
      <c r="J453" s="61" t="s">
        <v>250</v>
      </c>
      <c r="K453" s="4">
        <v>2995199</v>
      </c>
      <c r="L453" s="39">
        <v>105.047</v>
      </c>
      <c r="M453" s="4">
        <v>3151410</v>
      </c>
      <c r="N453" s="4">
        <v>3000000</v>
      </c>
      <c r="O453" s="4">
        <v>2996335</v>
      </c>
      <c r="P453" s="4">
        <v>0</v>
      </c>
      <c r="Q453" s="4">
        <v>1136</v>
      </c>
      <c r="R453" s="4">
        <v>0</v>
      </c>
      <c r="S453" s="4">
        <v>0</v>
      </c>
      <c r="T453" s="23">
        <v>3.5</v>
      </c>
      <c r="U453" s="23">
        <v>3.5670000000000002</v>
      </c>
      <c r="V453" s="5" t="s">
        <v>3844</v>
      </c>
      <c r="W453" s="4">
        <v>8750</v>
      </c>
      <c r="X453" s="4">
        <v>105000</v>
      </c>
      <c r="Y453" s="11">
        <v>43973</v>
      </c>
      <c r="Z453" s="11">
        <v>44896</v>
      </c>
      <c r="AA453" s="2"/>
      <c r="AB453" s="63" t="s">
        <v>3840</v>
      </c>
      <c r="AC453" s="5" t="s">
        <v>4198</v>
      </c>
      <c r="AD453" s="2"/>
      <c r="AE453" s="11">
        <v>44866</v>
      </c>
      <c r="AF453" s="23">
        <v>100</v>
      </c>
      <c r="AG453" s="6"/>
      <c r="AH453" s="5" t="s">
        <v>1749</v>
      </c>
      <c r="AI453" s="5" t="s">
        <v>342</v>
      </c>
      <c r="AJ453" s="5" t="s">
        <v>3</v>
      </c>
      <c r="AK453" s="16" t="s">
        <v>3</v>
      </c>
      <c r="AL453" s="65" t="s">
        <v>3842</v>
      </c>
      <c r="AM453" s="31" t="s">
        <v>1176</v>
      </c>
    </row>
    <row r="454" spans="2:39" x14ac:dyDescent="0.25">
      <c r="B454" s="18" t="s">
        <v>642</v>
      </c>
      <c r="C454" s="44" t="s">
        <v>4282</v>
      </c>
      <c r="D454" s="20" t="s">
        <v>2061</v>
      </c>
      <c r="E454" s="67" t="s">
        <v>3</v>
      </c>
      <c r="F454" s="51" t="s">
        <v>3</v>
      </c>
      <c r="G454" s="37" t="s">
        <v>3</v>
      </c>
      <c r="H454" s="68" t="s">
        <v>3842</v>
      </c>
      <c r="I454" s="62" t="s">
        <v>1157</v>
      </c>
      <c r="J454" s="61" t="s">
        <v>2244</v>
      </c>
      <c r="K454" s="4">
        <v>4301542</v>
      </c>
      <c r="L454" s="39">
        <v>101.252</v>
      </c>
      <c r="M454" s="4">
        <v>4355397</v>
      </c>
      <c r="N454" s="4">
        <v>4301542</v>
      </c>
      <c r="O454" s="4">
        <v>4301542</v>
      </c>
      <c r="P454" s="4">
        <v>0</v>
      </c>
      <c r="Q454" s="4">
        <v>0</v>
      </c>
      <c r="R454" s="4">
        <v>0</v>
      </c>
      <c r="S454" s="4">
        <v>0</v>
      </c>
      <c r="T454" s="23">
        <v>4.5599999999999996</v>
      </c>
      <c r="U454" s="23">
        <v>4.5620000000000003</v>
      </c>
      <c r="V454" s="5" t="s">
        <v>1982</v>
      </c>
      <c r="W454" s="4">
        <v>95896</v>
      </c>
      <c r="X454" s="4">
        <v>196150</v>
      </c>
      <c r="Y454" s="11">
        <v>43371</v>
      </c>
      <c r="Z454" s="11">
        <v>45930</v>
      </c>
      <c r="AA454" s="2"/>
      <c r="AB454" s="63" t="s">
        <v>643</v>
      </c>
      <c r="AC454" s="5" t="s">
        <v>1417</v>
      </c>
      <c r="AD454" s="2"/>
      <c r="AE454" s="9"/>
      <c r="AF454" s="23"/>
      <c r="AG454" s="6"/>
      <c r="AH454" s="5" t="s">
        <v>3</v>
      </c>
      <c r="AI454" s="5" t="s">
        <v>1751</v>
      </c>
      <c r="AJ454" s="5" t="s">
        <v>1751</v>
      </c>
      <c r="AK454" s="16" t="s">
        <v>3</v>
      </c>
      <c r="AL454" s="65" t="s">
        <v>3842</v>
      </c>
      <c r="AM454" s="31" t="s">
        <v>2833</v>
      </c>
    </row>
    <row r="455" spans="2:39" x14ac:dyDescent="0.25">
      <c r="B455" s="18" t="s">
        <v>1752</v>
      </c>
      <c r="C455" s="44" t="s">
        <v>2513</v>
      </c>
      <c r="D455" s="20" t="s">
        <v>2514</v>
      </c>
      <c r="E455" s="67" t="s">
        <v>3</v>
      </c>
      <c r="F455" s="51" t="s">
        <v>3</v>
      </c>
      <c r="G455" s="37" t="s">
        <v>2715</v>
      </c>
      <c r="H455" s="68" t="s">
        <v>3842</v>
      </c>
      <c r="I455" s="62" t="s">
        <v>1157</v>
      </c>
      <c r="J455" s="61" t="s">
        <v>250</v>
      </c>
      <c r="K455" s="4">
        <v>5814525</v>
      </c>
      <c r="L455" s="39">
        <v>107.17</v>
      </c>
      <c r="M455" s="4">
        <v>6150486</v>
      </c>
      <c r="N455" s="4">
        <v>5739000</v>
      </c>
      <c r="O455" s="4">
        <v>5795066</v>
      </c>
      <c r="P455" s="4">
        <v>0</v>
      </c>
      <c r="Q455" s="4">
        <v>-12469</v>
      </c>
      <c r="R455" s="4">
        <v>0</v>
      </c>
      <c r="S455" s="4">
        <v>0</v>
      </c>
      <c r="T455" s="23">
        <v>3.85</v>
      </c>
      <c r="U455" s="23">
        <v>3.5920000000000001</v>
      </c>
      <c r="V455" s="5" t="s">
        <v>3844</v>
      </c>
      <c r="W455" s="4">
        <v>18413</v>
      </c>
      <c r="X455" s="4">
        <v>220952</v>
      </c>
      <c r="Y455" s="11">
        <v>43615</v>
      </c>
      <c r="Z455" s="11">
        <v>45809</v>
      </c>
      <c r="AA455" s="2"/>
      <c r="AB455" s="63" t="s">
        <v>3840</v>
      </c>
      <c r="AC455" s="5" t="s">
        <v>4198</v>
      </c>
      <c r="AD455" s="2"/>
      <c r="AE455" s="10">
        <v>45717</v>
      </c>
      <c r="AF455" s="23">
        <v>100</v>
      </c>
      <c r="AG455" s="10">
        <v>45717</v>
      </c>
      <c r="AH455" s="5" t="s">
        <v>2515</v>
      </c>
      <c r="AI455" s="5" t="s">
        <v>2514</v>
      </c>
      <c r="AJ455" s="5" t="s">
        <v>3</v>
      </c>
      <c r="AK455" s="16" t="s">
        <v>3</v>
      </c>
      <c r="AL455" s="65" t="s">
        <v>3842</v>
      </c>
      <c r="AM455" s="31" t="s">
        <v>926</v>
      </c>
    </row>
    <row r="456" spans="2:39" x14ac:dyDescent="0.25">
      <c r="B456" s="18" t="s">
        <v>2834</v>
      </c>
      <c r="C456" s="44" t="s">
        <v>2286</v>
      </c>
      <c r="D456" s="20" t="s">
        <v>3938</v>
      </c>
      <c r="E456" s="67" t="s">
        <v>3</v>
      </c>
      <c r="F456" s="51" t="s">
        <v>3</v>
      </c>
      <c r="G456" s="37" t="s">
        <v>2715</v>
      </c>
      <c r="H456" s="68" t="s">
        <v>3842</v>
      </c>
      <c r="I456" s="62" t="s">
        <v>10</v>
      </c>
      <c r="J456" s="61" t="s">
        <v>250</v>
      </c>
      <c r="K456" s="4">
        <v>5252640</v>
      </c>
      <c r="L456" s="39">
        <v>110.929</v>
      </c>
      <c r="M456" s="4">
        <v>5546450</v>
      </c>
      <c r="N456" s="4">
        <v>5000000</v>
      </c>
      <c r="O456" s="4">
        <v>5164750</v>
      </c>
      <c r="P456" s="4">
        <v>0</v>
      </c>
      <c r="Q456" s="4">
        <v>-55394</v>
      </c>
      <c r="R456" s="4">
        <v>0</v>
      </c>
      <c r="S456" s="4">
        <v>0</v>
      </c>
      <c r="T456" s="23">
        <v>4.75</v>
      </c>
      <c r="U456" s="23">
        <v>3.4980000000000002</v>
      </c>
      <c r="V456" s="5" t="s">
        <v>3844</v>
      </c>
      <c r="W456" s="4">
        <v>10556</v>
      </c>
      <c r="X456" s="4">
        <v>237500</v>
      </c>
      <c r="Y456" s="11">
        <v>43608</v>
      </c>
      <c r="Z456" s="11">
        <v>45275</v>
      </c>
      <c r="AA456" s="2"/>
      <c r="AB456" s="63" t="s">
        <v>3840</v>
      </c>
      <c r="AC456" s="5" t="s">
        <v>4198</v>
      </c>
      <c r="AD456" s="2"/>
      <c r="AE456" s="11">
        <v>45214</v>
      </c>
      <c r="AF456" s="23">
        <v>100</v>
      </c>
      <c r="AG456" s="10">
        <v>45214</v>
      </c>
      <c r="AH456" s="5" t="s">
        <v>3380</v>
      </c>
      <c r="AI456" s="5" t="s">
        <v>3938</v>
      </c>
      <c r="AJ456" s="5" t="s">
        <v>3</v>
      </c>
      <c r="AK456" s="16" t="s">
        <v>3</v>
      </c>
      <c r="AL456" s="65" t="s">
        <v>3842</v>
      </c>
      <c r="AM456" s="31" t="s">
        <v>1176</v>
      </c>
    </row>
    <row r="457" spans="2:39" x14ac:dyDescent="0.25">
      <c r="B457" s="18" t="s">
        <v>3939</v>
      </c>
      <c r="C457" s="44" t="s">
        <v>1418</v>
      </c>
      <c r="D457" s="20" t="s">
        <v>989</v>
      </c>
      <c r="E457" s="67" t="s">
        <v>3</v>
      </c>
      <c r="F457" s="51" t="s">
        <v>3</v>
      </c>
      <c r="G457" s="37" t="s">
        <v>3</v>
      </c>
      <c r="H457" s="68" t="s">
        <v>3842</v>
      </c>
      <c r="I457" s="62" t="s">
        <v>10</v>
      </c>
      <c r="J457" s="61" t="s">
        <v>250</v>
      </c>
      <c r="K457" s="4">
        <v>2103620</v>
      </c>
      <c r="L457" s="39">
        <v>106.354</v>
      </c>
      <c r="M457" s="4">
        <v>2127080</v>
      </c>
      <c r="N457" s="4">
        <v>2000000</v>
      </c>
      <c r="O457" s="4">
        <v>2049125</v>
      </c>
      <c r="P457" s="4">
        <v>0</v>
      </c>
      <c r="Q457" s="4">
        <v>-31470</v>
      </c>
      <c r="R457" s="4">
        <v>0</v>
      </c>
      <c r="S457" s="4">
        <v>0</v>
      </c>
      <c r="T457" s="23">
        <v>4.9000000000000004</v>
      </c>
      <c r="U457" s="23">
        <v>3.21</v>
      </c>
      <c r="V457" s="5" t="s">
        <v>1982</v>
      </c>
      <c r="W457" s="4">
        <v>49000</v>
      </c>
      <c r="X457" s="4">
        <v>98000</v>
      </c>
      <c r="Y457" s="11">
        <v>43553</v>
      </c>
      <c r="Z457" s="11">
        <v>44743</v>
      </c>
      <c r="AA457" s="2"/>
      <c r="AB457" s="63" t="s">
        <v>3840</v>
      </c>
      <c r="AC457" s="5" t="s">
        <v>4198</v>
      </c>
      <c r="AD457" s="2"/>
      <c r="AE457" s="6"/>
      <c r="AF457" s="23"/>
      <c r="AG457" s="6"/>
      <c r="AH457" s="5" t="s">
        <v>644</v>
      </c>
      <c r="AI457" s="5" t="s">
        <v>1753</v>
      </c>
      <c r="AJ457" s="5" t="s">
        <v>83</v>
      </c>
      <c r="AK457" s="16" t="s">
        <v>3</v>
      </c>
      <c r="AL457" s="65" t="s">
        <v>3842</v>
      </c>
      <c r="AM457" s="31" t="s">
        <v>1176</v>
      </c>
    </row>
    <row r="458" spans="2:39" x14ac:dyDescent="0.25">
      <c r="B458" s="18" t="s">
        <v>990</v>
      </c>
      <c r="C458" s="44" t="s">
        <v>1419</v>
      </c>
      <c r="D458" s="20" t="s">
        <v>1214</v>
      </c>
      <c r="E458" s="67" t="s">
        <v>3</v>
      </c>
      <c r="F458" s="51" t="s">
        <v>3</v>
      </c>
      <c r="G458" s="37" t="s">
        <v>2715</v>
      </c>
      <c r="H458" s="68" t="s">
        <v>3842</v>
      </c>
      <c r="I458" s="62" t="s">
        <v>3310</v>
      </c>
      <c r="J458" s="61" t="s">
        <v>250</v>
      </c>
      <c r="K458" s="4">
        <v>5574448</v>
      </c>
      <c r="L458" s="39">
        <v>105.834</v>
      </c>
      <c r="M458" s="4">
        <v>5836745</v>
      </c>
      <c r="N458" s="4">
        <v>5515000</v>
      </c>
      <c r="O458" s="4">
        <v>5535609</v>
      </c>
      <c r="P458" s="4">
        <v>0</v>
      </c>
      <c r="Q458" s="4">
        <v>-10071</v>
      </c>
      <c r="R458" s="4">
        <v>0</v>
      </c>
      <c r="S458" s="4">
        <v>0</v>
      </c>
      <c r="T458" s="23">
        <v>3.3</v>
      </c>
      <c r="U458" s="23">
        <v>3.1019999999999999</v>
      </c>
      <c r="V458" s="5" t="s">
        <v>12</v>
      </c>
      <c r="W458" s="4">
        <v>54093</v>
      </c>
      <c r="X458" s="4">
        <v>181995</v>
      </c>
      <c r="Y458" s="11">
        <v>42709</v>
      </c>
      <c r="Z458" s="11">
        <v>44999</v>
      </c>
      <c r="AA458" s="2"/>
      <c r="AB458" s="63" t="s">
        <v>3840</v>
      </c>
      <c r="AC458" s="5" t="s">
        <v>4198</v>
      </c>
      <c r="AD458" s="2"/>
      <c r="AE458" s="10">
        <v>44940</v>
      </c>
      <c r="AF458" s="23">
        <v>100</v>
      </c>
      <c r="AG458" s="10">
        <v>44940</v>
      </c>
      <c r="AH458" s="5" t="s">
        <v>1754</v>
      </c>
      <c r="AI458" s="5" t="s">
        <v>1214</v>
      </c>
      <c r="AJ458" s="5" t="s">
        <v>3</v>
      </c>
      <c r="AK458" s="16" t="s">
        <v>3</v>
      </c>
      <c r="AL458" s="65" t="s">
        <v>3842</v>
      </c>
      <c r="AM458" s="31" t="s">
        <v>1651</v>
      </c>
    </row>
    <row r="459" spans="2:39" x14ac:dyDescent="0.25">
      <c r="B459" s="18" t="s">
        <v>2062</v>
      </c>
      <c r="C459" s="44" t="s">
        <v>2516</v>
      </c>
      <c r="D459" s="20" t="s">
        <v>1214</v>
      </c>
      <c r="E459" s="67" t="s">
        <v>3</v>
      </c>
      <c r="F459" s="51" t="s">
        <v>3</v>
      </c>
      <c r="G459" s="37" t="s">
        <v>2715</v>
      </c>
      <c r="H459" s="68" t="s">
        <v>2715</v>
      </c>
      <c r="I459" s="62" t="s">
        <v>1358</v>
      </c>
      <c r="J459" s="61" t="s">
        <v>250</v>
      </c>
      <c r="K459" s="4">
        <v>4997250</v>
      </c>
      <c r="L459" s="39">
        <v>110.402</v>
      </c>
      <c r="M459" s="4">
        <v>5520100</v>
      </c>
      <c r="N459" s="4">
        <v>5000000</v>
      </c>
      <c r="O459" s="4">
        <v>4998492</v>
      </c>
      <c r="P459" s="4">
        <v>0</v>
      </c>
      <c r="Q459" s="4">
        <v>434</v>
      </c>
      <c r="R459" s="4">
        <v>0</v>
      </c>
      <c r="S459" s="4">
        <v>0</v>
      </c>
      <c r="T459" s="23">
        <v>3.875</v>
      </c>
      <c r="U459" s="23">
        <v>3.8849999999999998</v>
      </c>
      <c r="V459" s="5" t="s">
        <v>12</v>
      </c>
      <c r="W459" s="4">
        <v>57049</v>
      </c>
      <c r="X459" s="4">
        <v>193750</v>
      </c>
      <c r="Y459" s="11">
        <v>43474</v>
      </c>
      <c r="Z459" s="11">
        <v>45366</v>
      </c>
      <c r="AA459" s="2"/>
      <c r="AB459" s="63" t="s">
        <v>3840</v>
      </c>
      <c r="AC459" s="5" t="s">
        <v>4198</v>
      </c>
      <c r="AD459" s="2"/>
      <c r="AE459" s="10">
        <v>45337</v>
      </c>
      <c r="AF459" s="23">
        <v>100</v>
      </c>
      <c r="AG459" s="6"/>
      <c r="AH459" s="5" t="s">
        <v>1754</v>
      </c>
      <c r="AI459" s="5" t="s">
        <v>1214</v>
      </c>
      <c r="AJ459" s="5" t="s">
        <v>3</v>
      </c>
      <c r="AK459" s="16" t="s">
        <v>3</v>
      </c>
      <c r="AL459" s="65" t="s">
        <v>3842</v>
      </c>
      <c r="AM459" s="31" t="s">
        <v>559</v>
      </c>
    </row>
    <row r="460" spans="2:39" x14ac:dyDescent="0.25">
      <c r="B460" s="18" t="s">
        <v>3148</v>
      </c>
      <c r="C460" s="44" t="s">
        <v>2835</v>
      </c>
      <c r="D460" s="20" t="s">
        <v>1755</v>
      </c>
      <c r="E460" s="67" t="s">
        <v>3</v>
      </c>
      <c r="F460" s="51" t="s">
        <v>3</v>
      </c>
      <c r="G460" s="37" t="s">
        <v>2715</v>
      </c>
      <c r="H460" s="68" t="s">
        <v>3842</v>
      </c>
      <c r="I460" s="62" t="s">
        <v>10</v>
      </c>
      <c r="J460" s="61" t="s">
        <v>250</v>
      </c>
      <c r="K460" s="4">
        <v>4997100</v>
      </c>
      <c r="L460" s="39">
        <v>111.804</v>
      </c>
      <c r="M460" s="4">
        <v>5590200</v>
      </c>
      <c r="N460" s="4">
        <v>5000000</v>
      </c>
      <c r="O460" s="4">
        <v>4997706</v>
      </c>
      <c r="P460" s="4">
        <v>0</v>
      </c>
      <c r="Q460" s="4">
        <v>314</v>
      </c>
      <c r="R460" s="4">
        <v>0</v>
      </c>
      <c r="S460" s="4">
        <v>0</v>
      </c>
      <c r="T460" s="23">
        <v>3.45</v>
      </c>
      <c r="U460" s="23">
        <v>3.4580000000000002</v>
      </c>
      <c r="V460" s="5" t="s">
        <v>3844</v>
      </c>
      <c r="W460" s="4">
        <v>14375</v>
      </c>
      <c r="X460" s="4">
        <v>172500</v>
      </c>
      <c r="Y460" s="11">
        <v>43676</v>
      </c>
      <c r="Z460" s="11">
        <v>46539</v>
      </c>
      <c r="AA460" s="2"/>
      <c r="AB460" s="63" t="s">
        <v>3840</v>
      </c>
      <c r="AC460" s="5" t="s">
        <v>4198</v>
      </c>
      <c r="AD460" s="2"/>
      <c r="AE460" s="10">
        <v>46447</v>
      </c>
      <c r="AF460" s="23">
        <v>100</v>
      </c>
      <c r="AG460" s="6"/>
      <c r="AH460" s="5" t="s">
        <v>3</v>
      </c>
      <c r="AI460" s="5" t="s">
        <v>1755</v>
      </c>
      <c r="AJ460" s="5" t="s">
        <v>3</v>
      </c>
      <c r="AK460" s="16" t="s">
        <v>3</v>
      </c>
      <c r="AL460" s="65" t="s">
        <v>3842</v>
      </c>
      <c r="AM460" s="31" t="s">
        <v>1176</v>
      </c>
    </row>
    <row r="461" spans="2:39" x14ac:dyDescent="0.25">
      <c r="B461" s="18" t="s">
        <v>4283</v>
      </c>
      <c r="C461" s="44" t="s">
        <v>4284</v>
      </c>
      <c r="D461" s="20" t="s">
        <v>3616</v>
      </c>
      <c r="E461" s="67" t="s">
        <v>3</v>
      </c>
      <c r="F461" s="51" t="s">
        <v>3</v>
      </c>
      <c r="G461" s="37" t="s">
        <v>3</v>
      </c>
      <c r="H461" s="68" t="s">
        <v>2715</v>
      </c>
      <c r="I461" s="62" t="s">
        <v>10</v>
      </c>
      <c r="J461" s="61" t="s">
        <v>250</v>
      </c>
      <c r="K461" s="4">
        <v>4998400</v>
      </c>
      <c r="L461" s="39">
        <v>107.548</v>
      </c>
      <c r="M461" s="4">
        <v>5377400</v>
      </c>
      <c r="N461" s="4">
        <v>5000000</v>
      </c>
      <c r="O461" s="4">
        <v>4999167</v>
      </c>
      <c r="P461" s="4">
        <v>0</v>
      </c>
      <c r="Q461" s="4">
        <v>225</v>
      </c>
      <c r="R461" s="4">
        <v>0</v>
      </c>
      <c r="S461" s="4">
        <v>0</v>
      </c>
      <c r="T461" s="23">
        <v>2.75</v>
      </c>
      <c r="U461" s="23">
        <v>2.7549999999999999</v>
      </c>
      <c r="V461" s="5" t="s">
        <v>3844</v>
      </c>
      <c r="W461" s="4">
        <v>3438</v>
      </c>
      <c r="X461" s="4">
        <v>137500</v>
      </c>
      <c r="Y461" s="11">
        <v>42905</v>
      </c>
      <c r="Z461" s="11">
        <v>45465</v>
      </c>
      <c r="AA461" s="2"/>
      <c r="AB461" s="63" t="s">
        <v>3840</v>
      </c>
      <c r="AC461" s="5" t="s">
        <v>4198</v>
      </c>
      <c r="AD461" s="2"/>
      <c r="AE461" s="6"/>
      <c r="AF461" s="23"/>
      <c r="AG461" s="6"/>
      <c r="AH461" s="5" t="s">
        <v>991</v>
      </c>
      <c r="AI461" s="5" t="s">
        <v>3616</v>
      </c>
      <c r="AJ461" s="5" t="s">
        <v>3</v>
      </c>
      <c r="AK461" s="16" t="s">
        <v>3</v>
      </c>
      <c r="AL461" s="65" t="s">
        <v>2715</v>
      </c>
      <c r="AM461" s="31" t="s">
        <v>1992</v>
      </c>
    </row>
    <row r="462" spans="2:39" x14ac:dyDescent="0.25">
      <c r="B462" s="18" t="s">
        <v>992</v>
      </c>
      <c r="C462" s="44" t="s">
        <v>3149</v>
      </c>
      <c r="D462" s="20" t="s">
        <v>2287</v>
      </c>
      <c r="E462" s="67" t="s">
        <v>3</v>
      </c>
      <c r="F462" s="51" t="s">
        <v>3</v>
      </c>
      <c r="G462" s="37" t="s">
        <v>3</v>
      </c>
      <c r="H462" s="68" t="s">
        <v>2715</v>
      </c>
      <c r="I462" s="62" t="s">
        <v>10</v>
      </c>
      <c r="J462" s="61" t="s">
        <v>250</v>
      </c>
      <c r="K462" s="4">
        <v>6626970</v>
      </c>
      <c r="L462" s="39">
        <v>108.76900000000001</v>
      </c>
      <c r="M462" s="4">
        <v>7613830</v>
      </c>
      <c r="N462" s="4">
        <v>7000000</v>
      </c>
      <c r="O462" s="4">
        <v>6745473</v>
      </c>
      <c r="P462" s="4">
        <v>0</v>
      </c>
      <c r="Q462" s="4">
        <v>57245</v>
      </c>
      <c r="R462" s="4">
        <v>0</v>
      </c>
      <c r="S462" s="4">
        <v>0</v>
      </c>
      <c r="T462" s="23">
        <v>2.95</v>
      </c>
      <c r="U462" s="23">
        <v>3.9350000000000001</v>
      </c>
      <c r="V462" s="5" t="s">
        <v>1982</v>
      </c>
      <c r="W462" s="4">
        <v>97514</v>
      </c>
      <c r="X462" s="4">
        <v>206500</v>
      </c>
      <c r="Y462" s="11">
        <v>43423</v>
      </c>
      <c r="Z462" s="11">
        <v>45668</v>
      </c>
      <c r="AA462" s="2"/>
      <c r="AB462" s="63" t="s">
        <v>3840</v>
      </c>
      <c r="AC462" s="5" t="s">
        <v>4198</v>
      </c>
      <c r="AD462" s="2"/>
      <c r="AE462" s="6"/>
      <c r="AF462" s="23"/>
      <c r="AG462" s="6"/>
      <c r="AH462" s="5" t="s">
        <v>991</v>
      </c>
      <c r="AI462" s="5" t="s">
        <v>3616</v>
      </c>
      <c r="AJ462" s="5" t="s">
        <v>928</v>
      </c>
      <c r="AK462" s="16" t="s">
        <v>3</v>
      </c>
      <c r="AL462" s="65" t="s">
        <v>2715</v>
      </c>
      <c r="AM462" s="31" t="s">
        <v>1992</v>
      </c>
    </row>
    <row r="463" spans="2:39" x14ac:dyDescent="0.25">
      <c r="B463" s="18" t="s">
        <v>2063</v>
      </c>
      <c r="C463" s="44" t="s">
        <v>993</v>
      </c>
      <c r="D463" s="20" t="s">
        <v>2287</v>
      </c>
      <c r="E463" s="67" t="s">
        <v>3</v>
      </c>
      <c r="F463" s="51" t="s">
        <v>3</v>
      </c>
      <c r="G463" s="37" t="s">
        <v>3</v>
      </c>
      <c r="H463" s="68" t="s">
        <v>2715</v>
      </c>
      <c r="I463" s="62" t="s">
        <v>10</v>
      </c>
      <c r="J463" s="61" t="s">
        <v>250</v>
      </c>
      <c r="K463" s="4">
        <v>23978897</v>
      </c>
      <c r="L463" s="39">
        <v>106.401</v>
      </c>
      <c r="M463" s="4">
        <v>25014875</v>
      </c>
      <c r="N463" s="4">
        <v>23510000</v>
      </c>
      <c r="O463" s="4">
        <v>23936325</v>
      </c>
      <c r="P463" s="4">
        <v>0</v>
      </c>
      <c r="Q463" s="4">
        <v>-42571</v>
      </c>
      <c r="R463" s="4">
        <v>0</v>
      </c>
      <c r="S463" s="4">
        <v>0</v>
      </c>
      <c r="T463" s="23">
        <v>2.35</v>
      </c>
      <c r="U463" s="23">
        <v>2.0270000000000001</v>
      </c>
      <c r="V463" s="5" t="s">
        <v>1982</v>
      </c>
      <c r="W463" s="4">
        <v>256292</v>
      </c>
      <c r="X463" s="4">
        <v>276243</v>
      </c>
      <c r="Y463" s="11">
        <v>43985</v>
      </c>
      <c r="Z463" s="11">
        <v>46401</v>
      </c>
      <c r="AA463" s="2"/>
      <c r="AB463" s="63" t="s">
        <v>3840</v>
      </c>
      <c r="AC463" s="5" t="s">
        <v>4198</v>
      </c>
      <c r="AD463" s="2"/>
      <c r="AE463" s="6"/>
      <c r="AF463" s="23"/>
      <c r="AG463" s="6"/>
      <c r="AH463" s="5" t="s">
        <v>991</v>
      </c>
      <c r="AI463" s="5" t="s">
        <v>3616</v>
      </c>
      <c r="AJ463" s="5" t="s">
        <v>928</v>
      </c>
      <c r="AK463" s="16" t="s">
        <v>3</v>
      </c>
      <c r="AL463" s="65" t="s">
        <v>2715</v>
      </c>
      <c r="AM463" s="31" t="s">
        <v>1992</v>
      </c>
    </row>
    <row r="464" spans="2:39" x14ac:dyDescent="0.25">
      <c r="B464" s="18" t="s">
        <v>3940</v>
      </c>
      <c r="C464" s="44" t="s">
        <v>3941</v>
      </c>
      <c r="D464" s="20" t="s">
        <v>1420</v>
      </c>
      <c r="E464" s="67" t="s">
        <v>3</v>
      </c>
      <c r="F464" s="51" t="s">
        <v>3</v>
      </c>
      <c r="G464" s="37" t="s">
        <v>2715</v>
      </c>
      <c r="H464" s="68" t="s">
        <v>2715</v>
      </c>
      <c r="I464" s="62" t="s">
        <v>3538</v>
      </c>
      <c r="J464" s="61" t="s">
        <v>250</v>
      </c>
      <c r="K464" s="4">
        <v>1495815</v>
      </c>
      <c r="L464" s="39">
        <v>114.095</v>
      </c>
      <c r="M464" s="4">
        <v>1711425</v>
      </c>
      <c r="N464" s="4">
        <v>1500000</v>
      </c>
      <c r="O464" s="4">
        <v>1496226</v>
      </c>
      <c r="P464" s="4">
        <v>0</v>
      </c>
      <c r="Q464" s="4">
        <v>411</v>
      </c>
      <c r="R464" s="4">
        <v>0</v>
      </c>
      <c r="S464" s="4">
        <v>0</v>
      </c>
      <c r="T464" s="23">
        <v>3.3</v>
      </c>
      <c r="U464" s="23">
        <v>3.3450000000000002</v>
      </c>
      <c r="V464" s="5" t="s">
        <v>12</v>
      </c>
      <c r="W464" s="4">
        <v>13063</v>
      </c>
      <c r="X464" s="4">
        <v>24750</v>
      </c>
      <c r="Y464" s="11">
        <v>43914</v>
      </c>
      <c r="Z464" s="11">
        <v>46472</v>
      </c>
      <c r="AA464" s="2"/>
      <c r="AB464" s="63" t="s">
        <v>3840</v>
      </c>
      <c r="AC464" s="5" t="s">
        <v>4198</v>
      </c>
      <c r="AD464" s="2"/>
      <c r="AE464" s="11">
        <v>46413</v>
      </c>
      <c r="AF464" s="23">
        <v>100</v>
      </c>
      <c r="AG464" s="6"/>
      <c r="AH464" s="5" t="s">
        <v>2836</v>
      </c>
      <c r="AI464" s="5" t="s">
        <v>1420</v>
      </c>
      <c r="AJ464" s="5" t="s">
        <v>3</v>
      </c>
      <c r="AK464" s="16" t="s">
        <v>3</v>
      </c>
      <c r="AL464" s="65" t="s">
        <v>3842</v>
      </c>
      <c r="AM464" s="31" t="s">
        <v>1161</v>
      </c>
    </row>
    <row r="465" spans="2:39" x14ac:dyDescent="0.25">
      <c r="B465" s="18" t="s">
        <v>645</v>
      </c>
      <c r="C465" s="44" t="s">
        <v>3150</v>
      </c>
      <c r="D465" s="20" t="s">
        <v>4285</v>
      </c>
      <c r="E465" s="67" t="s">
        <v>3</v>
      </c>
      <c r="F465" s="51" t="s">
        <v>3</v>
      </c>
      <c r="G465" s="37" t="s">
        <v>2715</v>
      </c>
      <c r="H465" s="68" t="s">
        <v>3842</v>
      </c>
      <c r="I465" s="62" t="s">
        <v>10</v>
      </c>
      <c r="J465" s="61" t="s">
        <v>250</v>
      </c>
      <c r="K465" s="4">
        <v>13698755</v>
      </c>
      <c r="L465" s="39">
        <v>108.61</v>
      </c>
      <c r="M465" s="4">
        <v>15205400</v>
      </c>
      <c r="N465" s="4">
        <v>14000000</v>
      </c>
      <c r="O465" s="4">
        <v>13802668</v>
      </c>
      <c r="P465" s="4">
        <v>0</v>
      </c>
      <c r="Q465" s="4">
        <v>49476</v>
      </c>
      <c r="R465" s="4">
        <v>0</v>
      </c>
      <c r="S465" s="4">
        <v>0</v>
      </c>
      <c r="T465" s="23">
        <v>3.15</v>
      </c>
      <c r="U465" s="23">
        <v>3.5640000000000001</v>
      </c>
      <c r="V465" s="5" t="s">
        <v>248</v>
      </c>
      <c r="W465" s="4">
        <v>166600</v>
      </c>
      <c r="X465" s="4">
        <v>441000</v>
      </c>
      <c r="Y465" s="11">
        <v>43551</v>
      </c>
      <c r="Z465" s="11">
        <v>45519</v>
      </c>
      <c r="AA465" s="2"/>
      <c r="AB465" s="63" t="s">
        <v>3840</v>
      </c>
      <c r="AC465" s="5" t="s">
        <v>4198</v>
      </c>
      <c r="AD465" s="2"/>
      <c r="AE465" s="11">
        <v>45458</v>
      </c>
      <c r="AF465" s="23">
        <v>100</v>
      </c>
      <c r="AG465" s="10">
        <v>45458</v>
      </c>
      <c r="AH465" s="5" t="s">
        <v>2837</v>
      </c>
      <c r="AI465" s="5" t="s">
        <v>4285</v>
      </c>
      <c r="AJ465" s="5" t="s">
        <v>3</v>
      </c>
      <c r="AK465" s="16" t="s">
        <v>3</v>
      </c>
      <c r="AL465" s="65" t="s">
        <v>3842</v>
      </c>
      <c r="AM465" s="31" t="s">
        <v>1176</v>
      </c>
    </row>
    <row r="466" spans="2:39" x14ac:dyDescent="0.25">
      <c r="B466" s="18" t="s">
        <v>1756</v>
      </c>
      <c r="C466" s="44" t="s">
        <v>3617</v>
      </c>
      <c r="D466" s="20" t="s">
        <v>994</v>
      </c>
      <c r="E466" s="67" t="s">
        <v>3</v>
      </c>
      <c r="F466" s="51" t="s">
        <v>3</v>
      </c>
      <c r="G466" s="37" t="s">
        <v>2715</v>
      </c>
      <c r="H466" s="68" t="s">
        <v>3842</v>
      </c>
      <c r="I466" s="62" t="s">
        <v>3310</v>
      </c>
      <c r="J466" s="61" t="s">
        <v>250</v>
      </c>
      <c r="K466" s="4">
        <v>2998860</v>
      </c>
      <c r="L466" s="39">
        <v>106.465</v>
      </c>
      <c r="M466" s="4">
        <v>3193950</v>
      </c>
      <c r="N466" s="4">
        <v>3000000</v>
      </c>
      <c r="O466" s="4">
        <v>2999485</v>
      </c>
      <c r="P466" s="4">
        <v>0</v>
      </c>
      <c r="Q466" s="4">
        <v>217</v>
      </c>
      <c r="R466" s="4">
        <v>0</v>
      </c>
      <c r="S466" s="4">
        <v>0</v>
      </c>
      <c r="T466" s="23">
        <v>3.35</v>
      </c>
      <c r="U466" s="23">
        <v>3.3580000000000001</v>
      </c>
      <c r="V466" s="5" t="s">
        <v>3843</v>
      </c>
      <c r="W466" s="4">
        <v>25125</v>
      </c>
      <c r="X466" s="4">
        <v>100500</v>
      </c>
      <c r="Y466" s="11">
        <v>43173</v>
      </c>
      <c r="Z466" s="11">
        <v>45017</v>
      </c>
      <c r="AA466" s="2"/>
      <c r="AB466" s="63" t="s">
        <v>3840</v>
      </c>
      <c r="AC466" s="5" t="s">
        <v>4198</v>
      </c>
      <c r="AD466" s="2"/>
      <c r="AE466" s="11">
        <v>44986</v>
      </c>
      <c r="AF466" s="23">
        <v>100</v>
      </c>
      <c r="AG466" s="6"/>
      <c r="AH466" s="5" t="s">
        <v>3151</v>
      </c>
      <c r="AI466" s="5" t="s">
        <v>343</v>
      </c>
      <c r="AJ466" s="5" t="s">
        <v>3942</v>
      </c>
      <c r="AK466" s="16" t="s">
        <v>3</v>
      </c>
      <c r="AL466" s="65" t="s">
        <v>3842</v>
      </c>
      <c r="AM466" s="31" t="s">
        <v>1651</v>
      </c>
    </row>
    <row r="467" spans="2:39" x14ac:dyDescent="0.25">
      <c r="B467" s="18" t="s">
        <v>3152</v>
      </c>
      <c r="C467" s="44" t="s">
        <v>646</v>
      </c>
      <c r="D467" s="20" t="s">
        <v>2838</v>
      </c>
      <c r="E467" s="67" t="s">
        <v>3</v>
      </c>
      <c r="F467" s="51" t="s">
        <v>3</v>
      </c>
      <c r="G467" s="37" t="s">
        <v>2715</v>
      </c>
      <c r="H467" s="68" t="s">
        <v>3842</v>
      </c>
      <c r="I467" s="62" t="s">
        <v>10</v>
      </c>
      <c r="J467" s="61" t="s">
        <v>250</v>
      </c>
      <c r="K467" s="4">
        <v>9893611</v>
      </c>
      <c r="L467" s="39">
        <v>109.66</v>
      </c>
      <c r="M467" s="4">
        <v>10966000</v>
      </c>
      <c r="N467" s="4">
        <v>10000000</v>
      </c>
      <c r="O467" s="4">
        <v>9933471</v>
      </c>
      <c r="P467" s="4">
        <v>0</v>
      </c>
      <c r="Q467" s="4">
        <v>19083</v>
      </c>
      <c r="R467" s="4">
        <v>0</v>
      </c>
      <c r="S467" s="4">
        <v>0</v>
      </c>
      <c r="T467" s="23">
        <v>3.7959999999999998</v>
      </c>
      <c r="U467" s="23">
        <v>4.0190000000000001</v>
      </c>
      <c r="V467" s="5" t="s">
        <v>12</v>
      </c>
      <c r="W467" s="4">
        <v>111771</v>
      </c>
      <c r="X467" s="4">
        <v>379600</v>
      </c>
      <c r="Y467" s="11">
        <v>43424</v>
      </c>
      <c r="Z467" s="11">
        <v>45366</v>
      </c>
      <c r="AA467" s="2"/>
      <c r="AB467" s="63" t="s">
        <v>3840</v>
      </c>
      <c r="AC467" s="5" t="s">
        <v>4198</v>
      </c>
      <c r="AD467" s="2"/>
      <c r="AE467" s="11">
        <v>45275</v>
      </c>
      <c r="AF467" s="23">
        <v>100</v>
      </c>
      <c r="AG467" s="6"/>
      <c r="AH467" s="5" t="s">
        <v>3</v>
      </c>
      <c r="AI467" s="5" t="s">
        <v>2838</v>
      </c>
      <c r="AJ467" s="5" t="s">
        <v>3</v>
      </c>
      <c r="AK467" s="16" t="s">
        <v>3</v>
      </c>
      <c r="AL467" s="65" t="s">
        <v>3842</v>
      </c>
      <c r="AM467" s="31" t="s">
        <v>1176</v>
      </c>
    </row>
    <row r="468" spans="2:39" x14ac:dyDescent="0.25">
      <c r="B468" s="18" t="s">
        <v>4286</v>
      </c>
      <c r="C468" s="44" t="s">
        <v>3153</v>
      </c>
      <c r="D468" s="20" t="s">
        <v>3943</v>
      </c>
      <c r="E468" s="67" t="s">
        <v>3</v>
      </c>
      <c r="F468" s="51" t="s">
        <v>3</v>
      </c>
      <c r="G468" s="37" t="s">
        <v>3</v>
      </c>
      <c r="H468" s="68" t="s">
        <v>2715</v>
      </c>
      <c r="I468" s="62" t="s">
        <v>3538</v>
      </c>
      <c r="J468" s="61" t="s">
        <v>2244</v>
      </c>
      <c r="K468" s="4">
        <v>6000000</v>
      </c>
      <c r="L468" s="39">
        <v>104.124</v>
      </c>
      <c r="M468" s="4">
        <v>6247440</v>
      </c>
      <c r="N468" s="4">
        <v>6000000</v>
      </c>
      <c r="O468" s="4">
        <v>6000000</v>
      </c>
      <c r="P468" s="4">
        <v>0</v>
      </c>
      <c r="Q468" s="4">
        <v>0</v>
      </c>
      <c r="R468" s="4">
        <v>0</v>
      </c>
      <c r="S468" s="4">
        <v>0</v>
      </c>
      <c r="T468" s="23">
        <v>2.4</v>
      </c>
      <c r="U468" s="23">
        <v>2.4</v>
      </c>
      <c r="V468" s="5" t="s">
        <v>3844</v>
      </c>
      <c r="W468" s="4">
        <v>8000</v>
      </c>
      <c r="X468" s="4">
        <v>72000</v>
      </c>
      <c r="Y468" s="11">
        <v>43993</v>
      </c>
      <c r="Z468" s="11">
        <v>45088</v>
      </c>
      <c r="AA468" s="2"/>
      <c r="AB468" s="63" t="s">
        <v>2748</v>
      </c>
      <c r="AC468" s="5" t="s">
        <v>3</v>
      </c>
      <c r="AD468" s="2"/>
      <c r="AE468" s="9"/>
      <c r="AF468" s="23"/>
      <c r="AG468" s="9"/>
      <c r="AH468" s="5" t="s">
        <v>4287</v>
      </c>
      <c r="AI468" s="5" t="s">
        <v>3943</v>
      </c>
      <c r="AJ468" s="5" t="s">
        <v>3</v>
      </c>
      <c r="AK468" s="16" t="s">
        <v>3</v>
      </c>
      <c r="AL468" s="65" t="s">
        <v>3842</v>
      </c>
      <c r="AM468" s="31" t="s">
        <v>2839</v>
      </c>
    </row>
    <row r="469" spans="2:39" x14ac:dyDescent="0.25">
      <c r="B469" s="18" t="s">
        <v>995</v>
      </c>
      <c r="C469" s="44" t="s">
        <v>3154</v>
      </c>
      <c r="D469" s="20" t="s">
        <v>3943</v>
      </c>
      <c r="E469" s="67" t="s">
        <v>3</v>
      </c>
      <c r="F469" s="51" t="s">
        <v>3</v>
      </c>
      <c r="G469" s="37" t="s">
        <v>3</v>
      </c>
      <c r="H469" s="68" t="s">
        <v>2715</v>
      </c>
      <c r="I469" s="62" t="s">
        <v>3538</v>
      </c>
      <c r="J469" s="61" t="s">
        <v>2244</v>
      </c>
      <c r="K469" s="4">
        <v>6000000</v>
      </c>
      <c r="L469" s="39">
        <v>106.652</v>
      </c>
      <c r="M469" s="4">
        <v>6399120</v>
      </c>
      <c r="N469" s="4">
        <v>6000000</v>
      </c>
      <c r="O469" s="4">
        <v>6000000</v>
      </c>
      <c r="P469" s="4">
        <v>0</v>
      </c>
      <c r="Q469" s="4">
        <v>0</v>
      </c>
      <c r="R469" s="4">
        <v>0</v>
      </c>
      <c r="S469" s="4">
        <v>0</v>
      </c>
      <c r="T469" s="23">
        <v>2.52</v>
      </c>
      <c r="U469" s="23">
        <v>2.52</v>
      </c>
      <c r="V469" s="5" t="s">
        <v>3844</v>
      </c>
      <c r="W469" s="4">
        <v>8400</v>
      </c>
      <c r="X469" s="4">
        <v>75600</v>
      </c>
      <c r="Y469" s="11">
        <v>43993</v>
      </c>
      <c r="Z469" s="11">
        <v>45819</v>
      </c>
      <c r="AA469" s="2"/>
      <c r="AB469" s="63" t="s">
        <v>2748</v>
      </c>
      <c r="AC469" s="5" t="s">
        <v>3</v>
      </c>
      <c r="AD469" s="2"/>
      <c r="AE469" s="9"/>
      <c r="AF469" s="23"/>
      <c r="AG469" s="6"/>
      <c r="AH469" s="5" t="s">
        <v>4287</v>
      </c>
      <c r="AI469" s="5" t="s">
        <v>3943</v>
      </c>
      <c r="AJ469" s="5" t="s">
        <v>3</v>
      </c>
      <c r="AK469" s="16" t="s">
        <v>3</v>
      </c>
      <c r="AL469" s="65" t="s">
        <v>3842</v>
      </c>
      <c r="AM469" s="31" t="s">
        <v>2839</v>
      </c>
    </row>
    <row r="470" spans="2:39" x14ac:dyDescent="0.25">
      <c r="B470" s="18" t="s">
        <v>2064</v>
      </c>
      <c r="C470" s="44" t="s">
        <v>1757</v>
      </c>
      <c r="D470" s="20" t="s">
        <v>3943</v>
      </c>
      <c r="E470" s="67" t="s">
        <v>3</v>
      </c>
      <c r="F470" s="51" t="s">
        <v>3</v>
      </c>
      <c r="G470" s="37" t="s">
        <v>3</v>
      </c>
      <c r="H470" s="68" t="s">
        <v>2715</v>
      </c>
      <c r="I470" s="62" t="s">
        <v>3538</v>
      </c>
      <c r="J470" s="61" t="s">
        <v>2244</v>
      </c>
      <c r="K470" s="4">
        <v>3000000</v>
      </c>
      <c r="L470" s="39">
        <v>108.005</v>
      </c>
      <c r="M470" s="4">
        <v>3240150</v>
      </c>
      <c r="N470" s="4">
        <v>3000000</v>
      </c>
      <c r="O470" s="4">
        <v>3000000</v>
      </c>
      <c r="P470" s="4">
        <v>0</v>
      </c>
      <c r="Q470" s="4">
        <v>0</v>
      </c>
      <c r="R470" s="4">
        <v>0</v>
      </c>
      <c r="S470" s="4">
        <v>0</v>
      </c>
      <c r="T470" s="23">
        <v>2.7</v>
      </c>
      <c r="U470" s="23">
        <v>2.7</v>
      </c>
      <c r="V470" s="5" t="s">
        <v>3844</v>
      </c>
      <c r="W470" s="4">
        <v>4500</v>
      </c>
      <c r="X470" s="4">
        <v>40500</v>
      </c>
      <c r="Y470" s="11">
        <v>43993</v>
      </c>
      <c r="Z470" s="11">
        <v>46549</v>
      </c>
      <c r="AA470" s="2"/>
      <c r="AB470" s="63" t="s">
        <v>2748</v>
      </c>
      <c r="AC470" s="5" t="s">
        <v>3</v>
      </c>
      <c r="AD470" s="2"/>
      <c r="AE470" s="9"/>
      <c r="AF470" s="23"/>
      <c r="AG470" s="9"/>
      <c r="AH470" s="5" t="s">
        <v>4287</v>
      </c>
      <c r="AI470" s="5" t="s">
        <v>3943</v>
      </c>
      <c r="AJ470" s="5" t="s">
        <v>3</v>
      </c>
      <c r="AK470" s="16" t="s">
        <v>3</v>
      </c>
      <c r="AL470" s="65" t="s">
        <v>3842</v>
      </c>
      <c r="AM470" s="31" t="s">
        <v>2839</v>
      </c>
    </row>
    <row r="471" spans="2:39" x14ac:dyDescent="0.25">
      <c r="B471" s="18" t="s">
        <v>3155</v>
      </c>
      <c r="C471" s="44" t="s">
        <v>3156</v>
      </c>
      <c r="D471" s="20" t="s">
        <v>4288</v>
      </c>
      <c r="E471" s="67" t="s">
        <v>3</v>
      </c>
      <c r="F471" s="51" t="s">
        <v>3</v>
      </c>
      <c r="G471" s="37" t="s">
        <v>2715</v>
      </c>
      <c r="H471" s="68" t="s">
        <v>2715</v>
      </c>
      <c r="I471" s="62" t="s">
        <v>1358</v>
      </c>
      <c r="J471" s="61" t="s">
        <v>250</v>
      </c>
      <c r="K471" s="4">
        <v>3477320</v>
      </c>
      <c r="L471" s="39">
        <v>112.07299999999999</v>
      </c>
      <c r="M471" s="4">
        <v>3922555</v>
      </c>
      <c r="N471" s="4">
        <v>3500000</v>
      </c>
      <c r="O471" s="4">
        <v>3485231</v>
      </c>
      <c r="P471" s="4">
        <v>0</v>
      </c>
      <c r="Q471" s="4">
        <v>3198</v>
      </c>
      <c r="R471" s="4">
        <v>0</v>
      </c>
      <c r="S471" s="4">
        <v>0</v>
      </c>
      <c r="T471" s="23">
        <v>3.5</v>
      </c>
      <c r="U471" s="23">
        <v>3.609</v>
      </c>
      <c r="V471" s="5" t="s">
        <v>12</v>
      </c>
      <c r="W471" s="4">
        <v>36069</v>
      </c>
      <c r="X471" s="4">
        <v>122500</v>
      </c>
      <c r="Y471" s="11">
        <v>43278</v>
      </c>
      <c r="Z471" s="11">
        <v>45731</v>
      </c>
      <c r="AA471" s="2"/>
      <c r="AB471" s="63" t="s">
        <v>3840</v>
      </c>
      <c r="AC471" s="5" t="s">
        <v>4198</v>
      </c>
      <c r="AD471" s="2"/>
      <c r="AE471" s="9"/>
      <c r="AF471" s="23"/>
      <c r="AG471" s="9"/>
      <c r="AH471" s="5" t="s">
        <v>1215</v>
      </c>
      <c r="AI471" s="5" t="s">
        <v>4288</v>
      </c>
      <c r="AJ471" s="5" t="s">
        <v>3</v>
      </c>
      <c r="AK471" s="16" t="s">
        <v>3</v>
      </c>
      <c r="AL471" s="65" t="s">
        <v>3842</v>
      </c>
      <c r="AM471" s="31" t="s">
        <v>559</v>
      </c>
    </row>
    <row r="472" spans="2:39" x14ac:dyDescent="0.25">
      <c r="B472" s="18" t="s">
        <v>4289</v>
      </c>
      <c r="C472" s="44" t="s">
        <v>3618</v>
      </c>
      <c r="D472" s="20" t="s">
        <v>3381</v>
      </c>
      <c r="E472" s="67" t="s">
        <v>3</v>
      </c>
      <c r="F472" s="51" t="s">
        <v>3</v>
      </c>
      <c r="G472" s="37" t="s">
        <v>3</v>
      </c>
      <c r="H472" s="68" t="s">
        <v>2715</v>
      </c>
      <c r="I472" s="62" t="s">
        <v>2218</v>
      </c>
      <c r="J472" s="61" t="s">
        <v>250</v>
      </c>
      <c r="K472" s="4">
        <v>1998360</v>
      </c>
      <c r="L472" s="39">
        <v>109.047</v>
      </c>
      <c r="M472" s="4">
        <v>2180940</v>
      </c>
      <c r="N472" s="4">
        <v>2000000</v>
      </c>
      <c r="O472" s="4">
        <v>1998972</v>
      </c>
      <c r="P472" s="4">
        <v>0</v>
      </c>
      <c r="Q472" s="4">
        <v>316</v>
      </c>
      <c r="R472" s="4">
        <v>0</v>
      </c>
      <c r="S472" s="4">
        <v>0</v>
      </c>
      <c r="T472" s="23">
        <v>3.6</v>
      </c>
      <c r="U472" s="23">
        <v>3.6179999999999999</v>
      </c>
      <c r="V472" s="5" t="s">
        <v>1982</v>
      </c>
      <c r="W472" s="4">
        <v>34000</v>
      </c>
      <c r="X472" s="4">
        <v>72000</v>
      </c>
      <c r="Y472" s="11">
        <v>43473</v>
      </c>
      <c r="Z472" s="11">
        <v>45302</v>
      </c>
      <c r="AA472" s="2"/>
      <c r="AB472" s="63" t="s">
        <v>3840</v>
      </c>
      <c r="AC472" s="5" t="s">
        <v>4198</v>
      </c>
      <c r="AD472" s="2"/>
      <c r="AE472" s="9"/>
      <c r="AF472" s="23"/>
      <c r="AG472" s="6"/>
      <c r="AH472" s="5" t="s">
        <v>3157</v>
      </c>
      <c r="AI472" s="5" t="s">
        <v>1758</v>
      </c>
      <c r="AJ472" s="5" t="s">
        <v>928</v>
      </c>
      <c r="AK472" s="16" t="s">
        <v>3</v>
      </c>
      <c r="AL472" s="65" t="s">
        <v>2715</v>
      </c>
      <c r="AM472" s="31" t="s">
        <v>1351</v>
      </c>
    </row>
    <row r="473" spans="2:39" x14ac:dyDescent="0.25">
      <c r="B473" s="18" t="s">
        <v>996</v>
      </c>
      <c r="C473" s="44" t="s">
        <v>3158</v>
      </c>
      <c r="D473" s="20" t="s">
        <v>997</v>
      </c>
      <c r="E473" s="67" t="s">
        <v>3</v>
      </c>
      <c r="F473" s="51" t="s">
        <v>3</v>
      </c>
      <c r="G473" s="37" t="s">
        <v>3842</v>
      </c>
      <c r="H473" s="68" t="s">
        <v>2715</v>
      </c>
      <c r="I473" s="62" t="s">
        <v>3310</v>
      </c>
      <c r="J473" s="61" t="s">
        <v>250</v>
      </c>
      <c r="K473" s="4">
        <v>3858480</v>
      </c>
      <c r="L473" s="39">
        <v>108.44499999999999</v>
      </c>
      <c r="M473" s="4">
        <v>4337800</v>
      </c>
      <c r="N473" s="4">
        <v>4000000</v>
      </c>
      <c r="O473" s="4">
        <v>3908437</v>
      </c>
      <c r="P473" s="4">
        <v>0</v>
      </c>
      <c r="Q473" s="4">
        <v>20460</v>
      </c>
      <c r="R473" s="4">
        <v>0</v>
      </c>
      <c r="S473" s="4">
        <v>0</v>
      </c>
      <c r="T473" s="23">
        <v>2.7</v>
      </c>
      <c r="U473" s="23">
        <v>3.3</v>
      </c>
      <c r="V473" s="5" t="s">
        <v>248</v>
      </c>
      <c r="W473" s="4">
        <v>41700</v>
      </c>
      <c r="X473" s="4">
        <v>108000</v>
      </c>
      <c r="Y473" s="11">
        <v>43278</v>
      </c>
      <c r="Z473" s="11">
        <v>45700</v>
      </c>
      <c r="AA473" s="2"/>
      <c r="AB473" s="63" t="s">
        <v>3840</v>
      </c>
      <c r="AC473" s="5" t="s">
        <v>4198</v>
      </c>
      <c r="AD473" s="2"/>
      <c r="AE473" s="11">
        <v>45608</v>
      </c>
      <c r="AF473" s="23">
        <v>100</v>
      </c>
      <c r="AG473" s="6"/>
      <c r="AH473" s="5" t="s">
        <v>3382</v>
      </c>
      <c r="AI473" s="5" t="s">
        <v>997</v>
      </c>
      <c r="AJ473" s="5" t="s">
        <v>3</v>
      </c>
      <c r="AK473" s="16" t="s">
        <v>3</v>
      </c>
      <c r="AL473" s="65" t="s">
        <v>3842</v>
      </c>
      <c r="AM473" s="31" t="s">
        <v>2217</v>
      </c>
    </row>
    <row r="474" spans="2:39" x14ac:dyDescent="0.25">
      <c r="B474" s="18" t="s">
        <v>2517</v>
      </c>
      <c r="C474" s="44" t="s">
        <v>3944</v>
      </c>
      <c r="D474" s="20" t="s">
        <v>3945</v>
      </c>
      <c r="E474" s="67" t="s">
        <v>3</v>
      </c>
      <c r="F474" s="51" t="s">
        <v>3</v>
      </c>
      <c r="G474" s="37" t="s">
        <v>2715</v>
      </c>
      <c r="H474" s="68" t="s">
        <v>2715</v>
      </c>
      <c r="I474" s="62" t="s">
        <v>3310</v>
      </c>
      <c r="J474" s="61" t="s">
        <v>250</v>
      </c>
      <c r="K474" s="4">
        <v>986140</v>
      </c>
      <c r="L474" s="39">
        <v>111.738</v>
      </c>
      <c r="M474" s="4">
        <v>1117380</v>
      </c>
      <c r="N474" s="4">
        <v>1000000</v>
      </c>
      <c r="O474" s="4">
        <v>990506</v>
      </c>
      <c r="P474" s="4">
        <v>0</v>
      </c>
      <c r="Q474" s="4">
        <v>1780</v>
      </c>
      <c r="R474" s="4">
        <v>0</v>
      </c>
      <c r="S474" s="4">
        <v>0</v>
      </c>
      <c r="T474" s="23">
        <v>3.125</v>
      </c>
      <c r="U474" s="23">
        <v>3.339</v>
      </c>
      <c r="V474" s="5" t="s">
        <v>3312</v>
      </c>
      <c r="W474" s="4">
        <v>5035</v>
      </c>
      <c r="X474" s="4">
        <v>31250</v>
      </c>
      <c r="Y474" s="11">
        <v>43278</v>
      </c>
      <c r="Z474" s="11">
        <v>45964</v>
      </c>
      <c r="AA474" s="2"/>
      <c r="AB474" s="63" t="s">
        <v>3840</v>
      </c>
      <c r="AC474" s="5" t="s">
        <v>4198</v>
      </c>
      <c r="AD474" s="2"/>
      <c r="AE474" s="11">
        <v>45872</v>
      </c>
      <c r="AF474" s="23">
        <v>100</v>
      </c>
      <c r="AG474" s="6"/>
      <c r="AH474" s="5" t="s">
        <v>3382</v>
      </c>
      <c r="AI474" s="5" t="s">
        <v>997</v>
      </c>
      <c r="AJ474" s="5" t="s">
        <v>2065</v>
      </c>
      <c r="AK474" s="16" t="s">
        <v>3</v>
      </c>
      <c r="AL474" s="65" t="s">
        <v>3842</v>
      </c>
      <c r="AM474" s="31" t="s">
        <v>2217</v>
      </c>
    </row>
    <row r="475" spans="2:39" x14ac:dyDescent="0.25">
      <c r="B475" s="18" t="s">
        <v>3619</v>
      </c>
      <c r="C475" s="44" t="s">
        <v>2066</v>
      </c>
      <c r="D475" s="20" t="s">
        <v>3945</v>
      </c>
      <c r="E475" s="67" t="s">
        <v>3</v>
      </c>
      <c r="F475" s="51" t="s">
        <v>3</v>
      </c>
      <c r="G475" s="37" t="s">
        <v>2715</v>
      </c>
      <c r="H475" s="68" t="s">
        <v>2715</v>
      </c>
      <c r="I475" s="62" t="s">
        <v>3310</v>
      </c>
      <c r="J475" s="61" t="s">
        <v>250</v>
      </c>
      <c r="K475" s="4">
        <v>6979070</v>
      </c>
      <c r="L475" s="39">
        <v>104.33</v>
      </c>
      <c r="M475" s="4">
        <v>7303100</v>
      </c>
      <c r="N475" s="4">
        <v>7000000</v>
      </c>
      <c r="O475" s="4">
        <v>6991869</v>
      </c>
      <c r="P475" s="4">
        <v>0</v>
      </c>
      <c r="Q475" s="4">
        <v>3012</v>
      </c>
      <c r="R475" s="4">
        <v>0</v>
      </c>
      <c r="S475" s="4">
        <v>0</v>
      </c>
      <c r="T475" s="23">
        <v>2</v>
      </c>
      <c r="U475" s="23">
        <v>2.0459999999999998</v>
      </c>
      <c r="V475" s="5" t="s">
        <v>248</v>
      </c>
      <c r="W475" s="4">
        <v>55611</v>
      </c>
      <c r="X475" s="4">
        <v>140000</v>
      </c>
      <c r="Y475" s="11">
        <v>42583</v>
      </c>
      <c r="Z475" s="11">
        <v>45146</v>
      </c>
      <c r="AA475" s="2"/>
      <c r="AB475" s="63" t="s">
        <v>3840</v>
      </c>
      <c r="AC475" s="5" t="s">
        <v>4198</v>
      </c>
      <c r="AD475" s="2"/>
      <c r="AE475" s="11">
        <v>45085</v>
      </c>
      <c r="AF475" s="23">
        <v>100</v>
      </c>
      <c r="AG475" s="6"/>
      <c r="AH475" s="5" t="s">
        <v>3382</v>
      </c>
      <c r="AI475" s="5" t="s">
        <v>997</v>
      </c>
      <c r="AJ475" s="5" t="s">
        <v>2065</v>
      </c>
      <c r="AK475" s="16" t="s">
        <v>3</v>
      </c>
      <c r="AL475" s="65" t="s">
        <v>3842</v>
      </c>
      <c r="AM475" s="31" t="s">
        <v>2217</v>
      </c>
    </row>
    <row r="476" spans="2:39" x14ac:dyDescent="0.25">
      <c r="B476" s="18" t="s">
        <v>344</v>
      </c>
      <c r="C476" s="44" t="s">
        <v>2288</v>
      </c>
      <c r="D476" s="20" t="s">
        <v>2840</v>
      </c>
      <c r="E476" s="67" t="s">
        <v>3</v>
      </c>
      <c r="F476" s="51" t="s">
        <v>3</v>
      </c>
      <c r="G476" s="37" t="s">
        <v>2715</v>
      </c>
      <c r="H476" s="68" t="s">
        <v>3842</v>
      </c>
      <c r="I476" s="62" t="s">
        <v>1157</v>
      </c>
      <c r="J476" s="61" t="s">
        <v>250</v>
      </c>
      <c r="K476" s="4">
        <v>5000000</v>
      </c>
      <c r="L476" s="39">
        <v>118.306</v>
      </c>
      <c r="M476" s="4">
        <v>5915300</v>
      </c>
      <c r="N476" s="4">
        <v>5000000</v>
      </c>
      <c r="O476" s="4">
        <v>5000000</v>
      </c>
      <c r="P476" s="4">
        <v>0</v>
      </c>
      <c r="Q476" s="4">
        <v>0</v>
      </c>
      <c r="R476" s="4">
        <v>0</v>
      </c>
      <c r="S476" s="4">
        <v>0</v>
      </c>
      <c r="T476" s="23">
        <v>4.9749999999999996</v>
      </c>
      <c r="U476" s="23">
        <v>4.9720000000000004</v>
      </c>
      <c r="V476" s="5" t="s">
        <v>248</v>
      </c>
      <c r="W476" s="4">
        <v>100191</v>
      </c>
      <c r="X476" s="4">
        <v>248750</v>
      </c>
      <c r="Y476" s="11">
        <v>43500</v>
      </c>
      <c r="Z476" s="11">
        <v>46059</v>
      </c>
      <c r="AA476" s="2"/>
      <c r="AB476" s="63" t="s">
        <v>3840</v>
      </c>
      <c r="AC476" s="5" t="s">
        <v>4198</v>
      </c>
      <c r="AD476" s="2"/>
      <c r="AE476" s="11">
        <v>45997</v>
      </c>
      <c r="AF476" s="23">
        <v>100</v>
      </c>
      <c r="AG476" s="6"/>
      <c r="AH476" s="5" t="s">
        <v>3159</v>
      </c>
      <c r="AI476" s="5" t="s">
        <v>2840</v>
      </c>
      <c r="AJ476" s="5" t="s">
        <v>3</v>
      </c>
      <c r="AK476" s="16" t="s">
        <v>3</v>
      </c>
      <c r="AL476" s="65" t="s">
        <v>3842</v>
      </c>
      <c r="AM476" s="31" t="s">
        <v>926</v>
      </c>
    </row>
    <row r="477" spans="2:39" x14ac:dyDescent="0.25">
      <c r="B477" s="18" t="s">
        <v>1421</v>
      </c>
      <c r="C477" s="44" t="s">
        <v>3620</v>
      </c>
      <c r="D477" s="20" t="s">
        <v>2840</v>
      </c>
      <c r="E477" s="67" t="s">
        <v>3</v>
      </c>
      <c r="F477" s="51" t="s">
        <v>3</v>
      </c>
      <c r="G477" s="37" t="s">
        <v>2715</v>
      </c>
      <c r="H477" s="68" t="s">
        <v>3842</v>
      </c>
      <c r="I477" s="62" t="s">
        <v>1157</v>
      </c>
      <c r="J477" s="61" t="s">
        <v>250</v>
      </c>
      <c r="K477" s="4">
        <v>2999850</v>
      </c>
      <c r="L477" s="39">
        <v>117.027</v>
      </c>
      <c r="M477" s="4">
        <v>3510810</v>
      </c>
      <c r="N477" s="4">
        <v>3000000</v>
      </c>
      <c r="O477" s="4">
        <v>2999990</v>
      </c>
      <c r="P477" s="4">
        <v>0</v>
      </c>
      <c r="Q477" s="4">
        <v>35</v>
      </c>
      <c r="R477" s="4">
        <v>0</v>
      </c>
      <c r="S477" s="4">
        <v>0</v>
      </c>
      <c r="T477" s="23">
        <v>4.1849999999999996</v>
      </c>
      <c r="U477" s="23">
        <v>4.1849999999999996</v>
      </c>
      <c r="V477" s="5" t="s">
        <v>248</v>
      </c>
      <c r="W477" s="4">
        <v>47430</v>
      </c>
      <c r="X477" s="4">
        <v>137059</v>
      </c>
      <c r="Y477" s="11">
        <v>43656</v>
      </c>
      <c r="Z477" s="11">
        <v>46433</v>
      </c>
      <c r="AA477" s="2"/>
      <c r="AB477" s="63" t="s">
        <v>3840</v>
      </c>
      <c r="AC477" s="5" t="s">
        <v>4198</v>
      </c>
      <c r="AD477" s="2"/>
      <c r="AE477" s="11">
        <v>46371</v>
      </c>
      <c r="AF477" s="23">
        <v>100</v>
      </c>
      <c r="AG477" s="6"/>
      <c r="AH477" s="5" t="s">
        <v>3159</v>
      </c>
      <c r="AI477" s="5" t="s">
        <v>2840</v>
      </c>
      <c r="AJ477" s="5" t="s">
        <v>3</v>
      </c>
      <c r="AK477" s="16" t="s">
        <v>3</v>
      </c>
      <c r="AL477" s="65" t="s">
        <v>3842</v>
      </c>
      <c r="AM477" s="31" t="s">
        <v>926</v>
      </c>
    </row>
    <row r="478" spans="2:39" x14ac:dyDescent="0.25">
      <c r="B478" s="18" t="s">
        <v>2518</v>
      </c>
      <c r="C478" s="44" t="s">
        <v>2841</v>
      </c>
      <c r="D478" s="20" t="s">
        <v>647</v>
      </c>
      <c r="E478" s="67" t="s">
        <v>3</v>
      </c>
      <c r="F478" s="51" t="s">
        <v>3</v>
      </c>
      <c r="G478" s="37" t="s">
        <v>2715</v>
      </c>
      <c r="H478" s="68" t="s">
        <v>3842</v>
      </c>
      <c r="I478" s="62" t="s">
        <v>10</v>
      </c>
      <c r="J478" s="61" t="s">
        <v>250</v>
      </c>
      <c r="K478" s="4">
        <v>4989900</v>
      </c>
      <c r="L478" s="39">
        <v>102.53</v>
      </c>
      <c r="M478" s="4">
        <v>5126500</v>
      </c>
      <c r="N478" s="4">
        <v>5000000</v>
      </c>
      <c r="O478" s="4">
        <v>4993360</v>
      </c>
      <c r="P478" s="4">
        <v>0</v>
      </c>
      <c r="Q478" s="4">
        <v>1880</v>
      </c>
      <c r="R478" s="4">
        <v>0</v>
      </c>
      <c r="S478" s="4">
        <v>0</v>
      </c>
      <c r="T478" s="23">
        <v>3.9</v>
      </c>
      <c r="U478" s="23">
        <v>3.944</v>
      </c>
      <c r="V478" s="5" t="s">
        <v>3843</v>
      </c>
      <c r="W478" s="4">
        <v>48750</v>
      </c>
      <c r="X478" s="4">
        <v>195000</v>
      </c>
      <c r="Y478" s="11">
        <v>43531</v>
      </c>
      <c r="Z478" s="11">
        <v>45383</v>
      </c>
      <c r="AA478" s="2"/>
      <c r="AB478" s="63" t="s">
        <v>3840</v>
      </c>
      <c r="AC478" s="5" t="s">
        <v>4198</v>
      </c>
      <c r="AD478" s="2"/>
      <c r="AE478" s="11">
        <v>45352</v>
      </c>
      <c r="AF478" s="23">
        <v>100</v>
      </c>
      <c r="AG478" s="9"/>
      <c r="AH478" s="5" t="s">
        <v>3</v>
      </c>
      <c r="AI478" s="5" t="s">
        <v>648</v>
      </c>
      <c r="AJ478" s="5" t="s">
        <v>928</v>
      </c>
      <c r="AK478" s="16" t="s">
        <v>3</v>
      </c>
      <c r="AL478" s="65" t="s">
        <v>3842</v>
      </c>
      <c r="AM478" s="31" t="s">
        <v>1176</v>
      </c>
    </row>
    <row r="479" spans="2:39" x14ac:dyDescent="0.25">
      <c r="B479" s="18" t="s">
        <v>3621</v>
      </c>
      <c r="C479" s="44" t="s">
        <v>998</v>
      </c>
      <c r="D479" s="20" t="s">
        <v>647</v>
      </c>
      <c r="E479" s="67" t="s">
        <v>3</v>
      </c>
      <c r="F479" s="51" t="s">
        <v>3</v>
      </c>
      <c r="G479" s="37" t="s">
        <v>2715</v>
      </c>
      <c r="H479" s="68" t="s">
        <v>3842</v>
      </c>
      <c r="I479" s="62" t="s">
        <v>10</v>
      </c>
      <c r="J479" s="61" t="s">
        <v>250</v>
      </c>
      <c r="K479" s="4">
        <v>9056250</v>
      </c>
      <c r="L479" s="39">
        <v>101.586</v>
      </c>
      <c r="M479" s="4">
        <v>9142740</v>
      </c>
      <c r="N479" s="4">
        <v>9000000</v>
      </c>
      <c r="O479" s="4">
        <v>9041194</v>
      </c>
      <c r="P479" s="4">
        <v>0</v>
      </c>
      <c r="Q479" s="4">
        <v>-15056</v>
      </c>
      <c r="R479" s="4">
        <v>0</v>
      </c>
      <c r="S479" s="4">
        <v>0</v>
      </c>
      <c r="T479" s="23">
        <v>3.625</v>
      </c>
      <c r="U479" s="23">
        <v>3.2229999999999999</v>
      </c>
      <c r="V479" s="5" t="s">
        <v>3843</v>
      </c>
      <c r="W479" s="4">
        <v>81563</v>
      </c>
      <c r="X479" s="4">
        <v>163125</v>
      </c>
      <c r="Y479" s="11">
        <v>44028</v>
      </c>
      <c r="Z479" s="11">
        <v>44652</v>
      </c>
      <c r="AA479" s="2"/>
      <c r="AB479" s="63" t="s">
        <v>3840</v>
      </c>
      <c r="AC479" s="5" t="s">
        <v>4198</v>
      </c>
      <c r="AD479" s="2"/>
      <c r="AE479" s="11">
        <v>44621</v>
      </c>
      <c r="AF479" s="23">
        <v>100</v>
      </c>
      <c r="AG479" s="10">
        <v>44621</v>
      </c>
      <c r="AH479" s="5" t="s">
        <v>3</v>
      </c>
      <c r="AI479" s="5" t="s">
        <v>648</v>
      </c>
      <c r="AJ479" s="5" t="s">
        <v>928</v>
      </c>
      <c r="AK479" s="16" t="s">
        <v>3</v>
      </c>
      <c r="AL479" s="65" t="s">
        <v>3842</v>
      </c>
      <c r="AM479" s="31" t="s">
        <v>1176</v>
      </c>
    </row>
    <row r="480" spans="2:39" x14ac:dyDescent="0.25">
      <c r="B480" s="18" t="s">
        <v>345</v>
      </c>
      <c r="C480" s="44" t="s">
        <v>1422</v>
      </c>
      <c r="D480" s="20" t="s">
        <v>1216</v>
      </c>
      <c r="E480" s="67" t="s">
        <v>3</v>
      </c>
      <c r="F480" s="51" t="s">
        <v>3</v>
      </c>
      <c r="G480" s="37" t="s">
        <v>2715</v>
      </c>
      <c r="H480" s="68" t="s">
        <v>3842</v>
      </c>
      <c r="I480" s="62" t="s">
        <v>1157</v>
      </c>
      <c r="J480" s="61" t="s">
        <v>250</v>
      </c>
      <c r="K480" s="4">
        <v>5165300</v>
      </c>
      <c r="L480" s="39">
        <v>109.617</v>
      </c>
      <c r="M480" s="4">
        <v>5480850</v>
      </c>
      <c r="N480" s="4">
        <v>5000000</v>
      </c>
      <c r="O480" s="4">
        <v>5143482</v>
      </c>
      <c r="P480" s="4">
        <v>0</v>
      </c>
      <c r="Q480" s="4">
        <v>-21818</v>
      </c>
      <c r="R480" s="4">
        <v>0</v>
      </c>
      <c r="S480" s="4">
        <v>0</v>
      </c>
      <c r="T480" s="23">
        <v>3</v>
      </c>
      <c r="U480" s="23">
        <v>2.419</v>
      </c>
      <c r="V480" s="5" t="s">
        <v>1982</v>
      </c>
      <c r="W480" s="4">
        <v>69167</v>
      </c>
      <c r="X480" s="4">
        <v>75000</v>
      </c>
      <c r="Y480" s="11">
        <v>43873</v>
      </c>
      <c r="Z480" s="11">
        <v>46218</v>
      </c>
      <c r="AA480" s="2"/>
      <c r="AB480" s="63" t="s">
        <v>3840</v>
      </c>
      <c r="AC480" s="5" t="s">
        <v>4198</v>
      </c>
      <c r="AD480" s="2"/>
      <c r="AE480" s="10">
        <v>46127</v>
      </c>
      <c r="AF480" s="23">
        <v>100</v>
      </c>
      <c r="AG480" s="10">
        <v>46127</v>
      </c>
      <c r="AH480" s="5" t="s">
        <v>2519</v>
      </c>
      <c r="AI480" s="5" t="s">
        <v>1216</v>
      </c>
      <c r="AJ480" s="5" t="s">
        <v>3</v>
      </c>
      <c r="AK480" s="16" t="s">
        <v>3</v>
      </c>
      <c r="AL480" s="65" t="s">
        <v>3842</v>
      </c>
      <c r="AM480" s="31" t="s">
        <v>926</v>
      </c>
    </row>
    <row r="481" spans="2:39" x14ac:dyDescent="0.25">
      <c r="B481" s="18" t="s">
        <v>1759</v>
      </c>
      <c r="C481" s="44" t="s">
        <v>3622</v>
      </c>
      <c r="D481" s="20" t="s">
        <v>1760</v>
      </c>
      <c r="E481" s="67" t="s">
        <v>3</v>
      </c>
      <c r="F481" s="51" t="s">
        <v>3</v>
      </c>
      <c r="G481" s="37" t="s">
        <v>2715</v>
      </c>
      <c r="H481" s="68" t="s">
        <v>3842</v>
      </c>
      <c r="I481" s="62" t="s">
        <v>10</v>
      </c>
      <c r="J481" s="61" t="s">
        <v>250</v>
      </c>
      <c r="K481" s="4">
        <v>2286812</v>
      </c>
      <c r="L481" s="39">
        <v>109.527</v>
      </c>
      <c r="M481" s="4">
        <v>2409594</v>
      </c>
      <c r="N481" s="4">
        <v>2200000</v>
      </c>
      <c r="O481" s="4">
        <v>2255101</v>
      </c>
      <c r="P481" s="4">
        <v>0</v>
      </c>
      <c r="Q481" s="4">
        <v>-18307</v>
      </c>
      <c r="R481" s="4">
        <v>0</v>
      </c>
      <c r="S481" s="4">
        <v>0</v>
      </c>
      <c r="T481" s="23">
        <v>4</v>
      </c>
      <c r="U481" s="23">
        <v>3.0710000000000002</v>
      </c>
      <c r="V481" s="5" t="s">
        <v>248</v>
      </c>
      <c r="W481" s="4">
        <v>36667</v>
      </c>
      <c r="X481" s="4">
        <v>88000</v>
      </c>
      <c r="Y481" s="11">
        <v>43553</v>
      </c>
      <c r="Z481" s="11">
        <v>45323</v>
      </c>
      <c r="AA481" s="2"/>
      <c r="AB481" s="63" t="s">
        <v>3840</v>
      </c>
      <c r="AC481" s="5" t="s">
        <v>4198</v>
      </c>
      <c r="AD481" s="2"/>
      <c r="AE481" s="11">
        <v>45231</v>
      </c>
      <c r="AF481" s="23">
        <v>100</v>
      </c>
      <c r="AG481" s="10">
        <v>45231</v>
      </c>
      <c r="AH481" s="5" t="s">
        <v>649</v>
      </c>
      <c r="AI481" s="5" t="s">
        <v>1760</v>
      </c>
      <c r="AJ481" s="5" t="s">
        <v>3</v>
      </c>
      <c r="AK481" s="16" t="s">
        <v>3</v>
      </c>
      <c r="AL481" s="65" t="s">
        <v>3842</v>
      </c>
      <c r="AM481" s="31" t="s">
        <v>1176</v>
      </c>
    </row>
    <row r="482" spans="2:39" x14ac:dyDescent="0.25">
      <c r="B482" s="18" t="s">
        <v>2842</v>
      </c>
      <c r="C482" s="44" t="s">
        <v>650</v>
      </c>
      <c r="D482" s="20" t="s">
        <v>1760</v>
      </c>
      <c r="E482" s="67" t="s">
        <v>3</v>
      </c>
      <c r="F482" s="51" t="s">
        <v>3</v>
      </c>
      <c r="G482" s="37" t="s">
        <v>2715</v>
      </c>
      <c r="H482" s="68" t="s">
        <v>3842</v>
      </c>
      <c r="I482" s="62" t="s">
        <v>10</v>
      </c>
      <c r="J482" s="61" t="s">
        <v>250</v>
      </c>
      <c r="K482" s="4">
        <v>7956960</v>
      </c>
      <c r="L482" s="39">
        <v>113.474</v>
      </c>
      <c r="M482" s="4">
        <v>9077920</v>
      </c>
      <c r="N482" s="4">
        <v>8000000</v>
      </c>
      <c r="O482" s="4">
        <v>7967477</v>
      </c>
      <c r="P482" s="4">
        <v>0</v>
      </c>
      <c r="Q482" s="4">
        <v>5673</v>
      </c>
      <c r="R482" s="4">
        <v>0</v>
      </c>
      <c r="S482" s="4">
        <v>0</v>
      </c>
      <c r="T482" s="23">
        <v>3.625</v>
      </c>
      <c r="U482" s="23">
        <v>3.7130000000000001</v>
      </c>
      <c r="V482" s="5" t="s">
        <v>248</v>
      </c>
      <c r="W482" s="4">
        <v>111167</v>
      </c>
      <c r="X482" s="4">
        <v>290000</v>
      </c>
      <c r="Y482" s="11">
        <v>43507</v>
      </c>
      <c r="Z482" s="11">
        <v>46066</v>
      </c>
      <c r="AA482" s="2"/>
      <c r="AB482" s="63" t="s">
        <v>3840</v>
      </c>
      <c r="AC482" s="5" t="s">
        <v>4198</v>
      </c>
      <c r="AD482" s="2"/>
      <c r="AE482" s="11">
        <v>46004</v>
      </c>
      <c r="AF482" s="23">
        <v>100</v>
      </c>
      <c r="AG482" s="6"/>
      <c r="AH482" s="5" t="s">
        <v>649</v>
      </c>
      <c r="AI482" s="5" t="s">
        <v>1760</v>
      </c>
      <c r="AJ482" s="5" t="s">
        <v>3</v>
      </c>
      <c r="AK482" s="16" t="s">
        <v>3</v>
      </c>
      <c r="AL482" s="65" t="s">
        <v>3842</v>
      </c>
      <c r="AM482" s="31" t="s">
        <v>1176</v>
      </c>
    </row>
    <row r="483" spans="2:39" x14ac:dyDescent="0.25">
      <c r="B483" s="18" t="s">
        <v>3946</v>
      </c>
      <c r="C483" s="44" t="s">
        <v>2289</v>
      </c>
      <c r="D483" s="20" t="s">
        <v>999</v>
      </c>
      <c r="E483" s="67" t="s">
        <v>3</v>
      </c>
      <c r="F483" s="51" t="s">
        <v>3</v>
      </c>
      <c r="G483" s="37" t="s">
        <v>2715</v>
      </c>
      <c r="H483" s="68" t="s">
        <v>2715</v>
      </c>
      <c r="I483" s="62" t="s">
        <v>252</v>
      </c>
      <c r="J483" s="61" t="s">
        <v>250</v>
      </c>
      <c r="K483" s="4">
        <v>3800000</v>
      </c>
      <c r="L483" s="39">
        <v>106.98</v>
      </c>
      <c r="M483" s="4">
        <v>4065240</v>
      </c>
      <c r="N483" s="4">
        <v>3800000</v>
      </c>
      <c r="O483" s="4">
        <v>3799993</v>
      </c>
      <c r="P483" s="4">
        <v>0</v>
      </c>
      <c r="Q483" s="4">
        <v>-4</v>
      </c>
      <c r="R483" s="4">
        <v>0</v>
      </c>
      <c r="S483" s="4">
        <v>0</v>
      </c>
      <c r="T483" s="23">
        <v>2.72</v>
      </c>
      <c r="U483" s="23">
        <v>2.72</v>
      </c>
      <c r="V483" s="5" t="s">
        <v>1982</v>
      </c>
      <c r="W483" s="4">
        <v>45651</v>
      </c>
      <c r="X483" s="4">
        <v>103073</v>
      </c>
      <c r="Y483" s="11">
        <v>43664</v>
      </c>
      <c r="Z483" s="11">
        <v>45860</v>
      </c>
      <c r="AA483" s="2"/>
      <c r="AB483" s="63" t="s">
        <v>3840</v>
      </c>
      <c r="AC483" s="5" t="s">
        <v>4198</v>
      </c>
      <c r="AD483" s="2"/>
      <c r="AE483" s="11">
        <v>45495</v>
      </c>
      <c r="AF483" s="23">
        <v>100</v>
      </c>
      <c r="AG483" s="6"/>
      <c r="AH483" s="5" t="s">
        <v>1000</v>
      </c>
      <c r="AI483" s="5" t="s">
        <v>999</v>
      </c>
      <c r="AJ483" s="5" t="s">
        <v>3</v>
      </c>
      <c r="AK483" s="16" t="s">
        <v>3</v>
      </c>
      <c r="AL483" s="65" t="s">
        <v>3842</v>
      </c>
      <c r="AM483" s="31" t="s">
        <v>898</v>
      </c>
    </row>
    <row r="484" spans="2:39" x14ac:dyDescent="0.25">
      <c r="B484" s="18" t="s">
        <v>1423</v>
      </c>
      <c r="C484" s="44" t="s">
        <v>346</v>
      </c>
      <c r="D484" s="20" t="s">
        <v>999</v>
      </c>
      <c r="E484" s="67" t="s">
        <v>3</v>
      </c>
      <c r="F484" s="51" t="s">
        <v>3</v>
      </c>
      <c r="G484" s="37" t="s">
        <v>2715</v>
      </c>
      <c r="H484" s="68" t="s">
        <v>2715</v>
      </c>
      <c r="I484" s="62" t="s">
        <v>252</v>
      </c>
      <c r="J484" s="61" t="s">
        <v>250</v>
      </c>
      <c r="K484" s="4">
        <v>3000000</v>
      </c>
      <c r="L484" s="39">
        <v>105.703</v>
      </c>
      <c r="M484" s="4">
        <v>3171090</v>
      </c>
      <c r="N484" s="4">
        <v>3000000</v>
      </c>
      <c r="O484" s="4">
        <v>2999961</v>
      </c>
      <c r="P484" s="4">
        <v>0</v>
      </c>
      <c r="Q484" s="4">
        <v>-39</v>
      </c>
      <c r="R484" s="4">
        <v>0</v>
      </c>
      <c r="S484" s="4">
        <v>0</v>
      </c>
      <c r="T484" s="23">
        <v>2.1880000000000002</v>
      </c>
      <c r="U484" s="23">
        <v>2.1859999999999999</v>
      </c>
      <c r="V484" s="5" t="s">
        <v>3843</v>
      </c>
      <c r="W484" s="4">
        <v>11487</v>
      </c>
      <c r="X484" s="4">
        <v>32820</v>
      </c>
      <c r="Y484" s="11">
        <v>43944</v>
      </c>
      <c r="Z484" s="11">
        <v>46140</v>
      </c>
      <c r="AA484" s="2"/>
      <c r="AB484" s="63" t="s">
        <v>3840</v>
      </c>
      <c r="AC484" s="5" t="s">
        <v>4198</v>
      </c>
      <c r="AD484" s="2"/>
      <c r="AE484" s="11">
        <v>45775</v>
      </c>
      <c r="AF484" s="23">
        <v>100</v>
      </c>
      <c r="AG484" s="9"/>
      <c r="AH484" s="5" t="s">
        <v>1000</v>
      </c>
      <c r="AI484" s="5" t="s">
        <v>999</v>
      </c>
      <c r="AJ484" s="5" t="s">
        <v>3</v>
      </c>
      <c r="AK484" s="16" t="s">
        <v>3</v>
      </c>
      <c r="AL484" s="65" t="s">
        <v>3842</v>
      </c>
      <c r="AM484" s="31" t="s">
        <v>898</v>
      </c>
    </row>
    <row r="485" spans="2:39" x14ac:dyDescent="0.25">
      <c r="B485" s="18" t="s">
        <v>2520</v>
      </c>
      <c r="C485" s="44" t="s">
        <v>3160</v>
      </c>
      <c r="D485" s="20" t="s">
        <v>999</v>
      </c>
      <c r="E485" s="67" t="s">
        <v>3</v>
      </c>
      <c r="F485" s="51" t="s">
        <v>3</v>
      </c>
      <c r="G485" s="37" t="s">
        <v>2715</v>
      </c>
      <c r="H485" s="68" t="s">
        <v>3842</v>
      </c>
      <c r="I485" s="62" t="s">
        <v>3310</v>
      </c>
      <c r="J485" s="61" t="s">
        <v>250</v>
      </c>
      <c r="K485" s="4">
        <v>5003075</v>
      </c>
      <c r="L485" s="39">
        <v>105.556</v>
      </c>
      <c r="M485" s="4">
        <v>5277800</v>
      </c>
      <c r="N485" s="4">
        <v>5000000</v>
      </c>
      <c r="O485" s="4">
        <v>5002425</v>
      </c>
      <c r="P485" s="4">
        <v>0</v>
      </c>
      <c r="Q485" s="4">
        <v>-1126</v>
      </c>
      <c r="R485" s="4">
        <v>0</v>
      </c>
      <c r="S485" s="4">
        <v>0</v>
      </c>
      <c r="T485" s="23">
        <v>3.125</v>
      </c>
      <c r="U485" s="23">
        <v>3.1</v>
      </c>
      <c r="V485" s="5" t="s">
        <v>1982</v>
      </c>
      <c r="W485" s="4">
        <v>68576</v>
      </c>
      <c r="X485" s="4">
        <v>156250</v>
      </c>
      <c r="Y485" s="11">
        <v>43551</v>
      </c>
      <c r="Z485" s="11">
        <v>44949</v>
      </c>
      <c r="AA485" s="2"/>
      <c r="AB485" s="63" t="s">
        <v>3840</v>
      </c>
      <c r="AC485" s="5" t="s">
        <v>4198</v>
      </c>
      <c r="AD485" s="2"/>
      <c r="AE485" s="6"/>
      <c r="AF485" s="23"/>
      <c r="AG485" s="6"/>
      <c r="AH485" s="5" t="s">
        <v>1000</v>
      </c>
      <c r="AI485" s="5" t="s">
        <v>999</v>
      </c>
      <c r="AJ485" s="5" t="s">
        <v>3</v>
      </c>
      <c r="AK485" s="16" t="s">
        <v>3</v>
      </c>
      <c r="AL485" s="65" t="s">
        <v>3842</v>
      </c>
      <c r="AM485" s="31" t="s">
        <v>1651</v>
      </c>
    </row>
    <row r="486" spans="2:39" x14ac:dyDescent="0.25">
      <c r="B486" s="18" t="s">
        <v>3623</v>
      </c>
      <c r="C486" s="44" t="s">
        <v>1761</v>
      </c>
      <c r="D486" s="20" t="s">
        <v>999</v>
      </c>
      <c r="E486" s="67" t="s">
        <v>3</v>
      </c>
      <c r="F486" s="51" t="s">
        <v>3</v>
      </c>
      <c r="G486" s="37" t="s">
        <v>2715</v>
      </c>
      <c r="H486" s="68" t="s">
        <v>2715</v>
      </c>
      <c r="I486" s="62" t="s">
        <v>252</v>
      </c>
      <c r="J486" s="61" t="s">
        <v>250</v>
      </c>
      <c r="K486" s="4">
        <v>3500000</v>
      </c>
      <c r="L486" s="39">
        <v>107.587</v>
      </c>
      <c r="M486" s="4">
        <v>3765545</v>
      </c>
      <c r="N486" s="4">
        <v>3500000</v>
      </c>
      <c r="O486" s="4">
        <v>3500000</v>
      </c>
      <c r="P486" s="4">
        <v>0</v>
      </c>
      <c r="Q486" s="4">
        <v>0</v>
      </c>
      <c r="R486" s="4">
        <v>0</v>
      </c>
      <c r="S486" s="4">
        <v>0</v>
      </c>
      <c r="T486" s="23">
        <v>3.7370000000000001</v>
      </c>
      <c r="U486" s="23">
        <v>3.3340000000000001</v>
      </c>
      <c r="V486" s="5" t="s">
        <v>3843</v>
      </c>
      <c r="W486" s="4">
        <v>24342</v>
      </c>
      <c r="X486" s="4">
        <v>130795</v>
      </c>
      <c r="Y486" s="11">
        <v>43209</v>
      </c>
      <c r="Z486" s="11">
        <v>45406</v>
      </c>
      <c r="AA486" s="2"/>
      <c r="AB486" s="63" t="s">
        <v>3840</v>
      </c>
      <c r="AC486" s="5" t="s">
        <v>4198</v>
      </c>
      <c r="AD486" s="2"/>
      <c r="AE486" s="11">
        <v>45040</v>
      </c>
      <c r="AF486" s="23">
        <v>100</v>
      </c>
      <c r="AG486" s="9"/>
      <c r="AH486" s="5" t="s">
        <v>1000</v>
      </c>
      <c r="AI486" s="5" t="s">
        <v>999</v>
      </c>
      <c r="AJ486" s="5" t="s">
        <v>3</v>
      </c>
      <c r="AK486" s="16" t="s">
        <v>3</v>
      </c>
      <c r="AL486" s="65" t="s">
        <v>3842</v>
      </c>
      <c r="AM486" s="31" t="s">
        <v>898</v>
      </c>
    </row>
    <row r="487" spans="2:39" x14ac:dyDescent="0.25">
      <c r="B487" s="18" t="s">
        <v>347</v>
      </c>
      <c r="C487" s="44" t="s">
        <v>2843</v>
      </c>
      <c r="D487" s="20" t="s">
        <v>999</v>
      </c>
      <c r="E487" s="67" t="s">
        <v>3</v>
      </c>
      <c r="F487" s="51" t="s">
        <v>3</v>
      </c>
      <c r="G487" s="37" t="s">
        <v>2715</v>
      </c>
      <c r="H487" s="68" t="s">
        <v>3842</v>
      </c>
      <c r="I487" s="62" t="s">
        <v>3310</v>
      </c>
      <c r="J487" s="61" t="s">
        <v>250</v>
      </c>
      <c r="K487" s="4">
        <v>501455</v>
      </c>
      <c r="L487" s="39">
        <v>110.76900000000001</v>
      </c>
      <c r="M487" s="4">
        <v>553845</v>
      </c>
      <c r="N487" s="4">
        <v>500000</v>
      </c>
      <c r="O487" s="4">
        <v>500882</v>
      </c>
      <c r="P487" s="4">
        <v>0</v>
      </c>
      <c r="Q487" s="4">
        <v>-244</v>
      </c>
      <c r="R487" s="4">
        <v>0</v>
      </c>
      <c r="S487" s="4">
        <v>0</v>
      </c>
      <c r="T487" s="23">
        <v>3.875</v>
      </c>
      <c r="U487" s="23">
        <v>3.8180000000000001</v>
      </c>
      <c r="V487" s="5" t="s">
        <v>3843</v>
      </c>
      <c r="W487" s="4">
        <v>3337</v>
      </c>
      <c r="X487" s="4">
        <v>19375</v>
      </c>
      <c r="Y487" s="11">
        <v>43278</v>
      </c>
      <c r="Z487" s="11">
        <v>45411</v>
      </c>
      <c r="AA487" s="2"/>
      <c r="AB487" s="63" t="s">
        <v>3840</v>
      </c>
      <c r="AC487" s="5" t="s">
        <v>4198</v>
      </c>
      <c r="AD487" s="2"/>
      <c r="AE487" s="9"/>
      <c r="AF487" s="23"/>
      <c r="AG487" s="6"/>
      <c r="AH487" s="5" t="s">
        <v>1000</v>
      </c>
      <c r="AI487" s="5" t="s">
        <v>999</v>
      </c>
      <c r="AJ487" s="5" t="s">
        <v>3</v>
      </c>
      <c r="AK487" s="16" t="s">
        <v>3</v>
      </c>
      <c r="AL487" s="65" t="s">
        <v>3842</v>
      </c>
      <c r="AM487" s="31" t="s">
        <v>1651</v>
      </c>
    </row>
    <row r="488" spans="2:39" x14ac:dyDescent="0.25">
      <c r="B488" s="18" t="s">
        <v>1424</v>
      </c>
      <c r="C488" s="44" t="s">
        <v>348</v>
      </c>
      <c r="D488" s="20" t="s">
        <v>999</v>
      </c>
      <c r="E488" s="67" t="s">
        <v>3</v>
      </c>
      <c r="F488" s="51" t="s">
        <v>3</v>
      </c>
      <c r="G488" s="37" t="s">
        <v>2715</v>
      </c>
      <c r="H488" s="68" t="s">
        <v>3842</v>
      </c>
      <c r="I488" s="62" t="s">
        <v>3310</v>
      </c>
      <c r="J488" s="61" t="s">
        <v>250</v>
      </c>
      <c r="K488" s="4">
        <v>2332300</v>
      </c>
      <c r="L488" s="39">
        <v>111.79300000000001</v>
      </c>
      <c r="M488" s="4">
        <v>2794825</v>
      </c>
      <c r="N488" s="4">
        <v>2500000</v>
      </c>
      <c r="O488" s="4">
        <v>2378495</v>
      </c>
      <c r="P488" s="4">
        <v>0</v>
      </c>
      <c r="Q488" s="4">
        <v>19040</v>
      </c>
      <c r="R488" s="4">
        <v>0</v>
      </c>
      <c r="S488" s="4">
        <v>0</v>
      </c>
      <c r="T488" s="23">
        <v>3.125</v>
      </c>
      <c r="U488" s="23">
        <v>4.1100000000000003</v>
      </c>
      <c r="V488" s="5" t="s">
        <v>1982</v>
      </c>
      <c r="W488" s="4">
        <v>33420</v>
      </c>
      <c r="X488" s="4">
        <v>78125</v>
      </c>
      <c r="Y488" s="11">
        <v>43278</v>
      </c>
      <c r="Z488" s="11">
        <v>46230</v>
      </c>
      <c r="AA488" s="2"/>
      <c r="AB488" s="63" t="s">
        <v>3840</v>
      </c>
      <c r="AC488" s="5" t="s">
        <v>4198</v>
      </c>
      <c r="AD488" s="2"/>
      <c r="AE488" s="9"/>
      <c r="AF488" s="23"/>
      <c r="AG488" s="6"/>
      <c r="AH488" s="5" t="s">
        <v>1000</v>
      </c>
      <c r="AI488" s="5" t="s">
        <v>999</v>
      </c>
      <c r="AJ488" s="5" t="s">
        <v>3</v>
      </c>
      <c r="AK488" s="16" t="s">
        <v>3</v>
      </c>
      <c r="AL488" s="65" t="s">
        <v>3842</v>
      </c>
      <c r="AM488" s="31" t="s">
        <v>1651</v>
      </c>
    </row>
    <row r="489" spans="2:39" x14ac:dyDescent="0.25">
      <c r="B489" s="18" t="s">
        <v>2521</v>
      </c>
      <c r="C489" s="44" t="s">
        <v>651</v>
      </c>
      <c r="D489" s="20" t="s">
        <v>2290</v>
      </c>
      <c r="E489" s="67" t="s">
        <v>3</v>
      </c>
      <c r="F489" s="51" t="s">
        <v>3</v>
      </c>
      <c r="G489" s="37" t="s">
        <v>2715</v>
      </c>
      <c r="H489" s="68" t="s">
        <v>3842</v>
      </c>
      <c r="I489" s="62" t="s">
        <v>1157</v>
      </c>
      <c r="J489" s="61" t="s">
        <v>250</v>
      </c>
      <c r="K489" s="4">
        <v>5371418</v>
      </c>
      <c r="L489" s="39">
        <v>104.577</v>
      </c>
      <c r="M489" s="4">
        <v>5636700</v>
      </c>
      <c r="N489" s="4">
        <v>5390000</v>
      </c>
      <c r="O489" s="4">
        <v>5383120</v>
      </c>
      <c r="P489" s="4">
        <v>0</v>
      </c>
      <c r="Q489" s="4">
        <v>3366</v>
      </c>
      <c r="R489" s="4">
        <v>0</v>
      </c>
      <c r="S489" s="4">
        <v>0</v>
      </c>
      <c r="T489" s="23">
        <v>3.25</v>
      </c>
      <c r="U489" s="23">
        <v>3.3180000000000001</v>
      </c>
      <c r="V489" s="5" t="s">
        <v>3312</v>
      </c>
      <c r="W489" s="4">
        <v>22383</v>
      </c>
      <c r="X489" s="4">
        <v>175175</v>
      </c>
      <c r="Y489" s="11">
        <v>43553</v>
      </c>
      <c r="Z489" s="11">
        <v>44880</v>
      </c>
      <c r="AA489" s="2"/>
      <c r="AB489" s="63" t="s">
        <v>3840</v>
      </c>
      <c r="AC489" s="5" t="s">
        <v>4198</v>
      </c>
      <c r="AD489" s="2"/>
      <c r="AE489" s="10">
        <v>44849</v>
      </c>
      <c r="AF489" s="23">
        <v>100</v>
      </c>
      <c r="AG489" s="10">
        <v>44849</v>
      </c>
      <c r="AH489" s="5" t="s">
        <v>2291</v>
      </c>
      <c r="AI489" s="5" t="s">
        <v>2290</v>
      </c>
      <c r="AJ489" s="5" t="s">
        <v>3</v>
      </c>
      <c r="AK489" s="16" t="s">
        <v>3</v>
      </c>
      <c r="AL489" s="65" t="s">
        <v>3842</v>
      </c>
      <c r="AM489" s="31" t="s">
        <v>926</v>
      </c>
    </row>
    <row r="490" spans="2:39" x14ac:dyDescent="0.25">
      <c r="B490" s="18" t="s">
        <v>3947</v>
      </c>
      <c r="C490" s="44" t="s">
        <v>1001</v>
      </c>
      <c r="D490" s="20" t="s">
        <v>652</v>
      </c>
      <c r="E490" s="67" t="s">
        <v>3</v>
      </c>
      <c r="F490" s="51" t="s">
        <v>3</v>
      </c>
      <c r="G490" s="37" t="s">
        <v>3</v>
      </c>
      <c r="H490" s="68" t="s">
        <v>2715</v>
      </c>
      <c r="I490" s="62" t="s">
        <v>3538</v>
      </c>
      <c r="J490" s="61" t="s">
        <v>250</v>
      </c>
      <c r="K490" s="4">
        <v>3810795</v>
      </c>
      <c r="L490" s="39">
        <v>107.711</v>
      </c>
      <c r="M490" s="4">
        <v>4104645</v>
      </c>
      <c r="N490" s="4">
        <v>3810795</v>
      </c>
      <c r="O490" s="4">
        <v>3810795</v>
      </c>
      <c r="P490" s="4">
        <v>0</v>
      </c>
      <c r="Q490" s="4">
        <v>0</v>
      </c>
      <c r="R490" s="4">
        <v>0</v>
      </c>
      <c r="S490" s="4">
        <v>0</v>
      </c>
      <c r="T490" s="23">
        <v>2.73</v>
      </c>
      <c r="U490" s="23">
        <v>2.73</v>
      </c>
      <c r="V490" s="5" t="s">
        <v>3843</v>
      </c>
      <c r="W490" s="4">
        <v>21963</v>
      </c>
      <c r="X490" s="4">
        <v>104035</v>
      </c>
      <c r="Y490" s="11">
        <v>42677</v>
      </c>
      <c r="Z490" s="11">
        <v>47953</v>
      </c>
      <c r="AA490" s="2"/>
      <c r="AB490" s="63" t="s">
        <v>2748</v>
      </c>
      <c r="AC490" s="5" t="s">
        <v>3</v>
      </c>
      <c r="AD490" s="2"/>
      <c r="AE490" s="6"/>
      <c r="AF490" s="23"/>
      <c r="AG490" s="6"/>
      <c r="AH490" s="5" t="s">
        <v>3</v>
      </c>
      <c r="AI490" s="5" t="s">
        <v>652</v>
      </c>
      <c r="AJ490" s="5" t="s">
        <v>3</v>
      </c>
      <c r="AK490" s="16" t="s">
        <v>3</v>
      </c>
      <c r="AL490" s="65" t="s">
        <v>3842</v>
      </c>
      <c r="AM490" s="31" t="s">
        <v>1161</v>
      </c>
    </row>
    <row r="491" spans="2:39" x14ac:dyDescent="0.25">
      <c r="B491" s="18" t="s">
        <v>653</v>
      </c>
      <c r="C491" s="44" t="s">
        <v>1002</v>
      </c>
      <c r="D491" s="20" t="s">
        <v>3383</v>
      </c>
      <c r="E491" s="67" t="s">
        <v>3</v>
      </c>
      <c r="F491" s="51" t="s">
        <v>3</v>
      </c>
      <c r="G491" s="37" t="s">
        <v>3</v>
      </c>
      <c r="H491" s="68" t="s">
        <v>3842</v>
      </c>
      <c r="I491" s="62" t="s">
        <v>10</v>
      </c>
      <c r="J491" s="61" t="s">
        <v>2244</v>
      </c>
      <c r="K491" s="4">
        <v>5340650</v>
      </c>
      <c r="L491" s="39">
        <v>110</v>
      </c>
      <c r="M491" s="4">
        <v>5500000</v>
      </c>
      <c r="N491" s="4">
        <v>5000000</v>
      </c>
      <c r="O491" s="4">
        <v>5276586</v>
      </c>
      <c r="P491" s="4">
        <v>0</v>
      </c>
      <c r="Q491" s="4">
        <v>-43076</v>
      </c>
      <c r="R491" s="4">
        <v>0</v>
      </c>
      <c r="S491" s="4">
        <v>0</v>
      </c>
      <c r="T491" s="23">
        <v>4.33</v>
      </c>
      <c r="U491" s="23">
        <v>3.2829999999999999</v>
      </c>
      <c r="V491" s="5" t="s">
        <v>325</v>
      </c>
      <c r="W491" s="4">
        <v>11426</v>
      </c>
      <c r="X491" s="4">
        <v>216500</v>
      </c>
      <c r="Y491" s="11">
        <v>43647</v>
      </c>
      <c r="Z491" s="11">
        <v>46294</v>
      </c>
      <c r="AA491" s="2"/>
      <c r="AB491" s="63" t="s">
        <v>2748</v>
      </c>
      <c r="AC491" s="5" t="s">
        <v>3</v>
      </c>
      <c r="AD491" s="2"/>
      <c r="AE491" s="6"/>
      <c r="AF491" s="23"/>
      <c r="AG491" s="6"/>
      <c r="AH491" s="5" t="s">
        <v>3</v>
      </c>
      <c r="AI491" s="5" t="s">
        <v>3383</v>
      </c>
      <c r="AJ491" s="5" t="s">
        <v>3</v>
      </c>
      <c r="AK491" s="16" t="s">
        <v>3</v>
      </c>
      <c r="AL491" s="65" t="s">
        <v>2715</v>
      </c>
      <c r="AM491" s="31" t="s">
        <v>3100</v>
      </c>
    </row>
    <row r="492" spans="2:39" x14ac:dyDescent="0.25">
      <c r="B492" s="18" t="s">
        <v>1762</v>
      </c>
      <c r="C492" s="44" t="s">
        <v>2067</v>
      </c>
      <c r="D492" s="20" t="s">
        <v>3383</v>
      </c>
      <c r="E492" s="67" t="s">
        <v>3</v>
      </c>
      <c r="F492" s="51" t="s">
        <v>3</v>
      </c>
      <c r="G492" s="37" t="s">
        <v>3</v>
      </c>
      <c r="H492" s="68" t="s">
        <v>3842</v>
      </c>
      <c r="I492" s="62" t="s">
        <v>10</v>
      </c>
      <c r="J492" s="61" t="s">
        <v>2244</v>
      </c>
      <c r="K492" s="4">
        <v>3000000</v>
      </c>
      <c r="L492" s="39">
        <v>108.113</v>
      </c>
      <c r="M492" s="4">
        <v>3243390</v>
      </c>
      <c r="N492" s="4">
        <v>3000000</v>
      </c>
      <c r="O492" s="4">
        <v>3000000</v>
      </c>
      <c r="P492" s="4">
        <v>0</v>
      </c>
      <c r="Q492" s="4">
        <v>0</v>
      </c>
      <c r="R492" s="4">
        <v>0</v>
      </c>
      <c r="S492" s="4">
        <v>0</v>
      </c>
      <c r="T492" s="23">
        <v>3.04</v>
      </c>
      <c r="U492" s="23">
        <v>3.052</v>
      </c>
      <c r="V492" s="5" t="s">
        <v>325</v>
      </c>
      <c r="W492" s="4">
        <v>4813</v>
      </c>
      <c r="X492" s="4">
        <v>30147</v>
      </c>
      <c r="Y492" s="11">
        <v>44056</v>
      </c>
      <c r="Z492" s="11">
        <v>46612</v>
      </c>
      <c r="AA492" s="2"/>
      <c r="AB492" s="63" t="s">
        <v>2748</v>
      </c>
      <c r="AC492" s="5" t="s">
        <v>3</v>
      </c>
      <c r="AD492" s="2"/>
      <c r="AE492" s="9"/>
      <c r="AF492" s="23"/>
      <c r="AG492" s="6"/>
      <c r="AH492" s="5" t="s">
        <v>3</v>
      </c>
      <c r="AI492" s="5" t="s">
        <v>3383</v>
      </c>
      <c r="AJ492" s="5" t="s">
        <v>3</v>
      </c>
      <c r="AK492" s="16" t="s">
        <v>3</v>
      </c>
      <c r="AL492" s="65" t="s">
        <v>2715</v>
      </c>
      <c r="AM492" s="31" t="s">
        <v>3100</v>
      </c>
    </row>
    <row r="493" spans="2:39" x14ac:dyDescent="0.25">
      <c r="B493" s="18" t="s">
        <v>2844</v>
      </c>
      <c r="C493" s="44" t="s">
        <v>2845</v>
      </c>
      <c r="D493" s="20" t="s">
        <v>2522</v>
      </c>
      <c r="E493" s="67" t="s">
        <v>3</v>
      </c>
      <c r="F493" s="51" t="s">
        <v>3</v>
      </c>
      <c r="G493" s="37" t="s">
        <v>3</v>
      </c>
      <c r="H493" s="68" t="s">
        <v>2715</v>
      </c>
      <c r="I493" s="62" t="s">
        <v>1358</v>
      </c>
      <c r="J493" s="61" t="s">
        <v>250</v>
      </c>
      <c r="K493" s="4">
        <v>3000000</v>
      </c>
      <c r="L493" s="39">
        <v>104.629</v>
      </c>
      <c r="M493" s="4">
        <v>3138870</v>
      </c>
      <c r="N493" s="4">
        <v>3000000</v>
      </c>
      <c r="O493" s="4">
        <v>3000000</v>
      </c>
      <c r="P493" s="4">
        <v>0</v>
      </c>
      <c r="Q493" s="4">
        <v>0</v>
      </c>
      <c r="R493" s="4">
        <v>0</v>
      </c>
      <c r="S493" s="4">
        <v>0</v>
      </c>
      <c r="T493" s="23">
        <v>2.41</v>
      </c>
      <c r="U493" s="23">
        <v>2.41</v>
      </c>
      <c r="V493" s="5" t="s">
        <v>3844</v>
      </c>
      <c r="W493" s="4">
        <v>3013</v>
      </c>
      <c r="X493" s="4">
        <v>0</v>
      </c>
      <c r="Y493" s="11">
        <v>44181</v>
      </c>
      <c r="Z493" s="11">
        <v>45276</v>
      </c>
      <c r="AA493" s="2"/>
      <c r="AB493" s="63" t="s">
        <v>2748</v>
      </c>
      <c r="AC493" s="5" t="s">
        <v>3</v>
      </c>
      <c r="AD493" s="2"/>
      <c r="AE493" s="9"/>
      <c r="AF493" s="23"/>
      <c r="AG493" s="6"/>
      <c r="AH493" s="5" t="s">
        <v>3</v>
      </c>
      <c r="AI493" s="5" t="s">
        <v>1425</v>
      </c>
      <c r="AJ493" s="5" t="s">
        <v>1425</v>
      </c>
      <c r="AK493" s="16" t="s">
        <v>3</v>
      </c>
      <c r="AL493" s="65" t="s">
        <v>2715</v>
      </c>
      <c r="AM493" s="31" t="s">
        <v>559</v>
      </c>
    </row>
    <row r="494" spans="2:39" x14ac:dyDescent="0.25">
      <c r="B494" s="18" t="s">
        <v>349</v>
      </c>
      <c r="C494" s="44" t="s">
        <v>4290</v>
      </c>
      <c r="D494" s="20" t="s">
        <v>654</v>
      </c>
      <c r="E494" s="67" t="s">
        <v>3</v>
      </c>
      <c r="F494" s="51" t="s">
        <v>3</v>
      </c>
      <c r="G494" s="37" t="s">
        <v>3</v>
      </c>
      <c r="H494" s="68" t="s">
        <v>2715</v>
      </c>
      <c r="I494" s="62" t="s">
        <v>3538</v>
      </c>
      <c r="J494" s="61" t="s">
        <v>250</v>
      </c>
      <c r="K494" s="4">
        <v>5237804</v>
      </c>
      <c r="L494" s="39">
        <v>108.96899999999999</v>
      </c>
      <c r="M494" s="4">
        <v>5235690</v>
      </c>
      <c r="N494" s="4">
        <v>4804752</v>
      </c>
      <c r="O494" s="4">
        <v>5021253</v>
      </c>
      <c r="P494" s="4">
        <v>0</v>
      </c>
      <c r="Q494" s="4">
        <v>-60553</v>
      </c>
      <c r="R494" s="4">
        <v>0</v>
      </c>
      <c r="S494" s="4">
        <v>0</v>
      </c>
      <c r="T494" s="23">
        <v>5.6</v>
      </c>
      <c r="U494" s="23">
        <v>3.0390000000000001</v>
      </c>
      <c r="V494" s="5" t="s">
        <v>3843</v>
      </c>
      <c r="W494" s="4">
        <v>56803</v>
      </c>
      <c r="X494" s="4">
        <v>269066</v>
      </c>
      <c r="Y494" s="11">
        <v>42816</v>
      </c>
      <c r="Z494" s="11">
        <v>45382</v>
      </c>
      <c r="AA494" s="2"/>
      <c r="AB494" s="63" t="s">
        <v>2748</v>
      </c>
      <c r="AC494" s="5" t="s">
        <v>3</v>
      </c>
      <c r="AD494" s="2"/>
      <c r="AE494" s="9"/>
      <c r="AF494" s="23"/>
      <c r="AG494" s="9"/>
      <c r="AH494" s="5" t="s">
        <v>3</v>
      </c>
      <c r="AI494" s="5" t="s">
        <v>654</v>
      </c>
      <c r="AJ494" s="5" t="s">
        <v>3</v>
      </c>
      <c r="AK494" s="16" t="s">
        <v>3</v>
      </c>
      <c r="AL494" s="65" t="s">
        <v>2715</v>
      </c>
      <c r="AM494" s="31" t="s">
        <v>1161</v>
      </c>
    </row>
    <row r="495" spans="2:39" x14ac:dyDescent="0.25">
      <c r="B495" s="18" t="s">
        <v>1426</v>
      </c>
      <c r="C495" s="44" t="s">
        <v>2068</v>
      </c>
      <c r="D495" s="20" t="s">
        <v>2846</v>
      </c>
      <c r="E495" s="67" t="s">
        <v>3</v>
      </c>
      <c r="F495" s="51" t="s">
        <v>3</v>
      </c>
      <c r="G495" s="37" t="s">
        <v>2715</v>
      </c>
      <c r="H495" s="68" t="s">
        <v>3842</v>
      </c>
      <c r="I495" s="62" t="s">
        <v>1157</v>
      </c>
      <c r="J495" s="61" t="s">
        <v>250</v>
      </c>
      <c r="K495" s="4">
        <v>8980330</v>
      </c>
      <c r="L495" s="39">
        <v>104.977</v>
      </c>
      <c r="M495" s="4">
        <v>9447930</v>
      </c>
      <c r="N495" s="4">
        <v>9000000</v>
      </c>
      <c r="O495" s="4">
        <v>8982762</v>
      </c>
      <c r="P495" s="4">
        <v>0</v>
      </c>
      <c r="Q495" s="4">
        <v>5980</v>
      </c>
      <c r="R495" s="4">
        <v>0</v>
      </c>
      <c r="S495" s="4">
        <v>0</v>
      </c>
      <c r="T495" s="23">
        <v>3.75</v>
      </c>
      <c r="U495" s="23">
        <v>3.827</v>
      </c>
      <c r="V495" s="5" t="s">
        <v>12</v>
      </c>
      <c r="W495" s="4">
        <v>112500</v>
      </c>
      <c r="X495" s="4">
        <v>337500</v>
      </c>
      <c r="Y495" s="11">
        <v>43385</v>
      </c>
      <c r="Z495" s="11">
        <v>44986</v>
      </c>
      <c r="AA495" s="2"/>
      <c r="AB495" s="63" t="s">
        <v>3840</v>
      </c>
      <c r="AC495" s="5" t="s">
        <v>4198</v>
      </c>
      <c r="AD495" s="2"/>
      <c r="AE495" s="10">
        <v>44896</v>
      </c>
      <c r="AF495" s="23">
        <v>100</v>
      </c>
      <c r="AG495" s="6"/>
      <c r="AH495" s="5" t="s">
        <v>84</v>
      </c>
      <c r="AI495" s="5" t="s">
        <v>1763</v>
      </c>
      <c r="AJ495" s="5" t="s">
        <v>2523</v>
      </c>
      <c r="AK495" s="16" t="s">
        <v>3</v>
      </c>
      <c r="AL495" s="65" t="s">
        <v>3842</v>
      </c>
      <c r="AM495" s="31" t="s">
        <v>926</v>
      </c>
    </row>
    <row r="496" spans="2:39" x14ac:dyDescent="0.25">
      <c r="B496" s="18" t="s">
        <v>2524</v>
      </c>
      <c r="C496" s="44" t="s">
        <v>3161</v>
      </c>
      <c r="D496" s="20" t="s">
        <v>2846</v>
      </c>
      <c r="E496" s="67" t="s">
        <v>3</v>
      </c>
      <c r="F496" s="51" t="s">
        <v>3</v>
      </c>
      <c r="G496" s="37" t="s">
        <v>2715</v>
      </c>
      <c r="H496" s="68" t="s">
        <v>3842</v>
      </c>
      <c r="I496" s="62" t="s">
        <v>1157</v>
      </c>
      <c r="J496" s="61" t="s">
        <v>250</v>
      </c>
      <c r="K496" s="4">
        <v>3164550</v>
      </c>
      <c r="L496" s="39">
        <v>115.47499999999999</v>
      </c>
      <c r="M496" s="4">
        <v>3464250</v>
      </c>
      <c r="N496" s="4">
        <v>3000000</v>
      </c>
      <c r="O496" s="4">
        <v>3149834</v>
      </c>
      <c r="P496" s="4">
        <v>0</v>
      </c>
      <c r="Q496" s="4">
        <v>-14716</v>
      </c>
      <c r="R496" s="4">
        <v>0</v>
      </c>
      <c r="S496" s="4">
        <v>0</v>
      </c>
      <c r="T496" s="23">
        <v>5.5</v>
      </c>
      <c r="U496" s="23">
        <v>4.3680000000000003</v>
      </c>
      <c r="V496" s="5" t="s">
        <v>1982</v>
      </c>
      <c r="W496" s="4">
        <v>95333</v>
      </c>
      <c r="X496" s="4">
        <v>0</v>
      </c>
      <c r="Y496" s="11">
        <v>43990</v>
      </c>
      <c r="Z496" s="11">
        <v>46037</v>
      </c>
      <c r="AA496" s="2"/>
      <c r="AB496" s="63" t="s">
        <v>3840</v>
      </c>
      <c r="AC496" s="5" t="s">
        <v>4198</v>
      </c>
      <c r="AD496" s="2"/>
      <c r="AE496" s="10">
        <v>46006</v>
      </c>
      <c r="AF496" s="23">
        <v>100</v>
      </c>
      <c r="AG496" s="10">
        <v>46006</v>
      </c>
      <c r="AH496" s="5" t="s">
        <v>84</v>
      </c>
      <c r="AI496" s="5" t="s">
        <v>1763</v>
      </c>
      <c r="AJ496" s="5" t="s">
        <v>1763</v>
      </c>
      <c r="AK496" s="16" t="s">
        <v>3</v>
      </c>
      <c r="AL496" s="65" t="s">
        <v>3842</v>
      </c>
      <c r="AM496" s="31" t="s">
        <v>926</v>
      </c>
    </row>
    <row r="497" spans="2:39" x14ac:dyDescent="0.25">
      <c r="B497" s="18" t="s">
        <v>3624</v>
      </c>
      <c r="C497" s="44" t="s">
        <v>2847</v>
      </c>
      <c r="D497" s="20" t="s">
        <v>3384</v>
      </c>
      <c r="E497" s="67" t="s">
        <v>3</v>
      </c>
      <c r="F497" s="51" t="s">
        <v>3</v>
      </c>
      <c r="G497" s="37" t="s">
        <v>3</v>
      </c>
      <c r="H497" s="68" t="s">
        <v>3842</v>
      </c>
      <c r="I497" s="62" t="s">
        <v>3310</v>
      </c>
      <c r="J497" s="61" t="s">
        <v>2244</v>
      </c>
      <c r="K497" s="4">
        <v>5000000</v>
      </c>
      <c r="L497" s="39">
        <v>107.967</v>
      </c>
      <c r="M497" s="4">
        <v>5398350</v>
      </c>
      <c r="N497" s="4">
        <v>5000000</v>
      </c>
      <c r="O497" s="4">
        <v>5000000</v>
      </c>
      <c r="P497" s="4">
        <v>0</v>
      </c>
      <c r="Q497" s="4">
        <v>0</v>
      </c>
      <c r="R497" s="4">
        <v>0</v>
      </c>
      <c r="S497" s="4">
        <v>0</v>
      </c>
      <c r="T497" s="23">
        <v>3.33</v>
      </c>
      <c r="U497" s="23">
        <v>3.331</v>
      </c>
      <c r="V497" s="5" t="s">
        <v>3844</v>
      </c>
      <c r="W497" s="4">
        <v>7400</v>
      </c>
      <c r="X497" s="4">
        <v>166500</v>
      </c>
      <c r="Y497" s="11">
        <v>42957</v>
      </c>
      <c r="Z497" s="11">
        <v>45514</v>
      </c>
      <c r="AA497" s="2"/>
      <c r="AB497" s="63" t="s">
        <v>2748</v>
      </c>
      <c r="AC497" s="5" t="s">
        <v>3</v>
      </c>
      <c r="AD497" s="2"/>
      <c r="AE497" s="6"/>
      <c r="AF497" s="23"/>
      <c r="AG497" s="6"/>
      <c r="AH497" s="5" t="s">
        <v>3</v>
      </c>
      <c r="AI497" s="5" t="s">
        <v>3384</v>
      </c>
      <c r="AJ497" s="5" t="s">
        <v>3</v>
      </c>
      <c r="AK497" s="16" t="s">
        <v>3</v>
      </c>
      <c r="AL497" s="65" t="s">
        <v>2715</v>
      </c>
      <c r="AM497" s="31" t="s">
        <v>3385</v>
      </c>
    </row>
    <row r="498" spans="2:39" x14ac:dyDescent="0.25">
      <c r="B498" s="18" t="s">
        <v>655</v>
      </c>
      <c r="C498" s="44" t="s">
        <v>3948</v>
      </c>
      <c r="D498" s="20" t="s">
        <v>3384</v>
      </c>
      <c r="E498" s="67" t="s">
        <v>3</v>
      </c>
      <c r="F498" s="51" t="s">
        <v>3</v>
      </c>
      <c r="G498" s="37" t="s">
        <v>3</v>
      </c>
      <c r="H498" s="68" t="s">
        <v>3842</v>
      </c>
      <c r="I498" s="62" t="s">
        <v>3310</v>
      </c>
      <c r="J498" s="61" t="s">
        <v>952</v>
      </c>
      <c r="K498" s="4">
        <v>5000000</v>
      </c>
      <c r="L498" s="39">
        <v>107.828</v>
      </c>
      <c r="M498" s="4">
        <v>5391400</v>
      </c>
      <c r="N498" s="4">
        <v>5000000</v>
      </c>
      <c r="O498" s="4">
        <v>5000000</v>
      </c>
      <c r="P498" s="4">
        <v>0</v>
      </c>
      <c r="Q498" s="4">
        <v>0</v>
      </c>
      <c r="R498" s="4">
        <v>0</v>
      </c>
      <c r="S498" s="4">
        <v>0</v>
      </c>
      <c r="T498" s="23">
        <v>3.15</v>
      </c>
      <c r="U498" s="23">
        <v>3.15</v>
      </c>
      <c r="V498" s="5" t="s">
        <v>3844</v>
      </c>
      <c r="W498" s="4">
        <v>875</v>
      </c>
      <c r="X498" s="4">
        <v>0</v>
      </c>
      <c r="Y498" s="11">
        <v>44194</v>
      </c>
      <c r="Z498" s="11">
        <v>46758</v>
      </c>
      <c r="AA498" s="2"/>
      <c r="AB498" s="63" t="s">
        <v>2748</v>
      </c>
      <c r="AC498" s="5" t="s">
        <v>3</v>
      </c>
      <c r="AD498" s="2"/>
      <c r="AE498" s="6"/>
      <c r="AF498" s="23"/>
      <c r="AG498" s="6"/>
      <c r="AH498" s="5" t="s">
        <v>3</v>
      </c>
      <c r="AI498" s="5" t="s">
        <v>3384</v>
      </c>
      <c r="AJ498" s="5" t="s">
        <v>3</v>
      </c>
      <c r="AK498" s="16" t="s">
        <v>3</v>
      </c>
      <c r="AL498" s="65" t="s">
        <v>2715</v>
      </c>
      <c r="AM498" s="31" t="s">
        <v>1003</v>
      </c>
    </row>
    <row r="499" spans="2:39" x14ac:dyDescent="0.25">
      <c r="B499" s="18" t="s">
        <v>1764</v>
      </c>
      <c r="C499" s="44" t="s">
        <v>3162</v>
      </c>
      <c r="D499" s="20" t="s">
        <v>350</v>
      </c>
      <c r="E499" s="67" t="s">
        <v>3</v>
      </c>
      <c r="F499" s="51" t="s">
        <v>3</v>
      </c>
      <c r="G499" s="37" t="s">
        <v>2715</v>
      </c>
      <c r="H499" s="68" t="s">
        <v>2715</v>
      </c>
      <c r="I499" s="62" t="s">
        <v>3538</v>
      </c>
      <c r="J499" s="61" t="s">
        <v>250</v>
      </c>
      <c r="K499" s="4">
        <v>2493175</v>
      </c>
      <c r="L499" s="39">
        <v>104.48699999999999</v>
      </c>
      <c r="M499" s="4">
        <v>2612175</v>
      </c>
      <c r="N499" s="4">
        <v>2500000</v>
      </c>
      <c r="O499" s="4">
        <v>2497801</v>
      </c>
      <c r="P499" s="4">
        <v>0</v>
      </c>
      <c r="Q499" s="4">
        <v>993</v>
      </c>
      <c r="R499" s="4">
        <v>0</v>
      </c>
      <c r="S499" s="4">
        <v>0</v>
      </c>
      <c r="T499" s="23">
        <v>2.7</v>
      </c>
      <c r="U499" s="23">
        <v>2.7429999999999999</v>
      </c>
      <c r="V499" s="5" t="s">
        <v>248</v>
      </c>
      <c r="W499" s="4">
        <v>25500</v>
      </c>
      <c r="X499" s="4">
        <v>67500</v>
      </c>
      <c r="Y499" s="11">
        <v>42403</v>
      </c>
      <c r="Z499" s="11">
        <v>44972</v>
      </c>
      <c r="AA499" s="2"/>
      <c r="AB499" s="63" t="s">
        <v>3840</v>
      </c>
      <c r="AC499" s="5" t="s">
        <v>4198</v>
      </c>
      <c r="AD499" s="2"/>
      <c r="AE499" s="10">
        <v>44910</v>
      </c>
      <c r="AF499" s="23">
        <v>100</v>
      </c>
      <c r="AG499" s="6"/>
      <c r="AH499" s="5" t="s">
        <v>85</v>
      </c>
      <c r="AI499" s="5" t="s">
        <v>2069</v>
      </c>
      <c r="AJ499" s="5" t="s">
        <v>2069</v>
      </c>
      <c r="AK499" s="16" t="s">
        <v>3</v>
      </c>
      <c r="AL499" s="65" t="s">
        <v>2715</v>
      </c>
      <c r="AM499" s="31" t="s">
        <v>1161</v>
      </c>
    </row>
    <row r="500" spans="2:39" x14ac:dyDescent="0.25">
      <c r="B500" s="18" t="s">
        <v>2848</v>
      </c>
      <c r="C500" s="44" t="s">
        <v>4291</v>
      </c>
      <c r="D500" s="20" t="s">
        <v>350</v>
      </c>
      <c r="E500" s="67" t="s">
        <v>3</v>
      </c>
      <c r="F500" s="51" t="s">
        <v>3</v>
      </c>
      <c r="G500" s="37" t="s">
        <v>3842</v>
      </c>
      <c r="H500" s="68" t="s">
        <v>2715</v>
      </c>
      <c r="I500" s="62" t="s">
        <v>3538</v>
      </c>
      <c r="J500" s="61" t="s">
        <v>250</v>
      </c>
      <c r="K500" s="4">
        <v>2994150</v>
      </c>
      <c r="L500" s="39">
        <v>107.035</v>
      </c>
      <c r="M500" s="4">
        <v>3211050</v>
      </c>
      <c r="N500" s="4">
        <v>3000000</v>
      </c>
      <c r="O500" s="4">
        <v>2997260</v>
      </c>
      <c r="P500" s="4">
        <v>0</v>
      </c>
      <c r="Q500" s="4">
        <v>832</v>
      </c>
      <c r="R500" s="4">
        <v>0</v>
      </c>
      <c r="S500" s="4">
        <v>0</v>
      </c>
      <c r="T500" s="23">
        <v>2.95</v>
      </c>
      <c r="U500" s="23">
        <v>2.9809999999999999</v>
      </c>
      <c r="V500" s="5" t="s">
        <v>248</v>
      </c>
      <c r="W500" s="4">
        <v>35400</v>
      </c>
      <c r="X500" s="4">
        <v>88500</v>
      </c>
      <c r="Y500" s="11">
        <v>42766</v>
      </c>
      <c r="Z500" s="11">
        <v>45329</v>
      </c>
      <c r="AA500" s="2"/>
      <c r="AB500" s="63" t="s">
        <v>3840</v>
      </c>
      <c r="AC500" s="5" t="s">
        <v>4198</v>
      </c>
      <c r="AD500" s="2"/>
      <c r="AE500" s="11">
        <v>45267</v>
      </c>
      <c r="AF500" s="23">
        <v>100</v>
      </c>
      <c r="AG500" s="6"/>
      <c r="AH500" s="5" t="s">
        <v>85</v>
      </c>
      <c r="AI500" s="5" t="s">
        <v>2069</v>
      </c>
      <c r="AJ500" s="5" t="s">
        <v>2292</v>
      </c>
      <c r="AK500" s="16" t="s">
        <v>3</v>
      </c>
      <c r="AL500" s="65" t="s">
        <v>2715</v>
      </c>
      <c r="AM500" s="31" t="s">
        <v>1161</v>
      </c>
    </row>
    <row r="501" spans="2:39" x14ac:dyDescent="0.25">
      <c r="B501" s="18" t="s">
        <v>3949</v>
      </c>
      <c r="C501" s="44" t="s">
        <v>4292</v>
      </c>
      <c r="D501" s="20" t="s">
        <v>656</v>
      </c>
      <c r="E501" s="67" t="s">
        <v>3</v>
      </c>
      <c r="F501" s="51" t="s">
        <v>3</v>
      </c>
      <c r="G501" s="37" t="s">
        <v>3</v>
      </c>
      <c r="H501" s="68" t="s">
        <v>3842</v>
      </c>
      <c r="I501" s="62" t="s">
        <v>3310</v>
      </c>
      <c r="J501" s="61" t="s">
        <v>3</v>
      </c>
      <c r="K501" s="4">
        <v>9000000</v>
      </c>
      <c r="L501" s="39">
        <v>105.96299999999999</v>
      </c>
      <c r="M501" s="4">
        <v>9536670</v>
      </c>
      <c r="N501" s="4">
        <v>9000000</v>
      </c>
      <c r="O501" s="4">
        <v>9000000</v>
      </c>
      <c r="P501" s="4">
        <v>0</v>
      </c>
      <c r="Q501" s="4">
        <v>0</v>
      </c>
      <c r="R501" s="4">
        <v>0</v>
      </c>
      <c r="S501" s="4">
        <v>0</v>
      </c>
      <c r="T501" s="23">
        <v>3.2</v>
      </c>
      <c r="U501" s="23">
        <v>3.2</v>
      </c>
      <c r="V501" s="5" t="s">
        <v>248</v>
      </c>
      <c r="W501" s="4">
        <v>108800</v>
      </c>
      <c r="X501" s="4">
        <v>288000</v>
      </c>
      <c r="Y501" s="11">
        <v>42600</v>
      </c>
      <c r="Z501" s="11">
        <v>45156</v>
      </c>
      <c r="AA501" s="2"/>
      <c r="AB501" s="63" t="s">
        <v>1684</v>
      </c>
      <c r="AC501" s="5" t="s">
        <v>3</v>
      </c>
      <c r="AD501" s="2"/>
      <c r="AE501" s="9"/>
      <c r="AF501" s="23"/>
      <c r="AG501" s="6"/>
      <c r="AH501" s="5" t="s">
        <v>3</v>
      </c>
      <c r="AI501" s="5" t="s">
        <v>1004</v>
      </c>
      <c r="AJ501" s="5" t="s">
        <v>3163</v>
      </c>
      <c r="AK501" s="16" t="s">
        <v>3</v>
      </c>
      <c r="AL501" s="65" t="s">
        <v>3842</v>
      </c>
      <c r="AM501" s="31" t="s">
        <v>309</v>
      </c>
    </row>
    <row r="502" spans="2:39" x14ac:dyDescent="0.25">
      <c r="B502" s="18" t="s">
        <v>657</v>
      </c>
      <c r="C502" s="44" t="s">
        <v>86</v>
      </c>
      <c r="D502" s="20" t="s">
        <v>4293</v>
      </c>
      <c r="E502" s="67" t="s">
        <v>3</v>
      </c>
      <c r="F502" s="51" t="s">
        <v>3</v>
      </c>
      <c r="G502" s="37" t="s">
        <v>2715</v>
      </c>
      <c r="H502" s="68" t="s">
        <v>2715</v>
      </c>
      <c r="I502" s="62" t="s">
        <v>1157</v>
      </c>
      <c r="J502" s="61" t="s">
        <v>250</v>
      </c>
      <c r="K502" s="4">
        <v>1850000</v>
      </c>
      <c r="L502" s="39">
        <v>100.515</v>
      </c>
      <c r="M502" s="4">
        <v>1859528</v>
      </c>
      <c r="N502" s="4">
        <v>1850000</v>
      </c>
      <c r="O502" s="4">
        <v>1850000</v>
      </c>
      <c r="P502" s="4">
        <v>0</v>
      </c>
      <c r="Q502" s="4">
        <v>0</v>
      </c>
      <c r="R502" s="4">
        <v>0</v>
      </c>
      <c r="S502" s="4">
        <v>0</v>
      </c>
      <c r="T502" s="23">
        <v>1.651</v>
      </c>
      <c r="U502" s="23">
        <v>1.651</v>
      </c>
      <c r="V502" s="5" t="s">
        <v>248</v>
      </c>
      <c r="W502" s="4">
        <v>11199</v>
      </c>
      <c r="X502" s="4">
        <v>0</v>
      </c>
      <c r="Y502" s="11">
        <v>44055</v>
      </c>
      <c r="Z502" s="11">
        <v>47696</v>
      </c>
      <c r="AA502" s="2"/>
      <c r="AB502" s="63" t="s">
        <v>3840</v>
      </c>
      <c r="AC502" s="5" t="s">
        <v>9</v>
      </c>
      <c r="AD502" s="2"/>
      <c r="AE502" s="11">
        <v>47604</v>
      </c>
      <c r="AF502" s="23">
        <v>100</v>
      </c>
      <c r="AG502" s="6"/>
      <c r="AH502" s="5" t="s">
        <v>351</v>
      </c>
      <c r="AI502" s="5" t="s">
        <v>4293</v>
      </c>
      <c r="AJ502" s="5" t="s">
        <v>3</v>
      </c>
      <c r="AK502" s="16" t="s">
        <v>3</v>
      </c>
      <c r="AL502" s="65" t="s">
        <v>3842</v>
      </c>
      <c r="AM502" s="31" t="s">
        <v>1631</v>
      </c>
    </row>
    <row r="503" spans="2:39" x14ac:dyDescent="0.25">
      <c r="B503" s="18" t="s">
        <v>1765</v>
      </c>
      <c r="C503" s="44" t="s">
        <v>352</v>
      </c>
      <c r="D503" s="20" t="s">
        <v>1217</v>
      </c>
      <c r="E503" s="67" t="s">
        <v>3</v>
      </c>
      <c r="F503" s="51" t="s">
        <v>3</v>
      </c>
      <c r="G503" s="37" t="s">
        <v>3</v>
      </c>
      <c r="H503" s="68" t="s">
        <v>2715</v>
      </c>
      <c r="I503" s="62" t="s">
        <v>3310</v>
      </c>
      <c r="J503" s="61" t="s">
        <v>250</v>
      </c>
      <c r="K503" s="4">
        <v>4792944</v>
      </c>
      <c r="L503" s="39">
        <v>100.482</v>
      </c>
      <c r="M503" s="4">
        <v>4823136</v>
      </c>
      <c r="N503" s="4">
        <v>4800000</v>
      </c>
      <c r="O503" s="4">
        <v>4799582</v>
      </c>
      <c r="P503" s="4">
        <v>0</v>
      </c>
      <c r="Q503" s="4">
        <v>1460</v>
      </c>
      <c r="R503" s="4">
        <v>0</v>
      </c>
      <c r="S503" s="4">
        <v>0</v>
      </c>
      <c r="T503" s="23">
        <v>2</v>
      </c>
      <c r="U503" s="23">
        <v>2.0310000000000001</v>
      </c>
      <c r="V503" s="5" t="s">
        <v>3843</v>
      </c>
      <c r="W503" s="4">
        <v>20800</v>
      </c>
      <c r="X503" s="4">
        <v>96000</v>
      </c>
      <c r="Y503" s="11">
        <v>42466</v>
      </c>
      <c r="Z503" s="11">
        <v>44299</v>
      </c>
      <c r="AA503" s="2"/>
      <c r="AB503" s="63" t="s">
        <v>3840</v>
      </c>
      <c r="AC503" s="5" t="s">
        <v>9</v>
      </c>
      <c r="AD503" s="2"/>
      <c r="AE503" s="9"/>
      <c r="AF503" s="23"/>
      <c r="AG503" s="6"/>
      <c r="AH503" s="5" t="s">
        <v>3950</v>
      </c>
      <c r="AI503" s="5" t="s">
        <v>1217</v>
      </c>
      <c r="AJ503" s="5" t="s">
        <v>3</v>
      </c>
      <c r="AK503" s="16" t="s">
        <v>3</v>
      </c>
      <c r="AL503" s="65" t="s">
        <v>2715</v>
      </c>
      <c r="AM503" s="31" t="s">
        <v>2217</v>
      </c>
    </row>
    <row r="504" spans="2:39" x14ac:dyDescent="0.25">
      <c r="B504" s="18" t="s">
        <v>3625</v>
      </c>
      <c r="C504" s="44" t="s">
        <v>1766</v>
      </c>
      <c r="D504" s="20" t="s">
        <v>1767</v>
      </c>
      <c r="E504" s="67" t="s">
        <v>3</v>
      </c>
      <c r="F504" s="51" t="s">
        <v>3</v>
      </c>
      <c r="G504" s="37" t="s">
        <v>3</v>
      </c>
      <c r="H504" s="68" t="s">
        <v>2715</v>
      </c>
      <c r="I504" s="62" t="s">
        <v>3310</v>
      </c>
      <c r="J504" s="61" t="s">
        <v>250</v>
      </c>
      <c r="K504" s="4">
        <v>5743893</v>
      </c>
      <c r="L504" s="39">
        <v>107.595</v>
      </c>
      <c r="M504" s="4">
        <v>6832283</v>
      </c>
      <c r="N504" s="4">
        <v>6350000</v>
      </c>
      <c r="O504" s="4">
        <v>5892106</v>
      </c>
      <c r="P504" s="4">
        <v>0</v>
      </c>
      <c r="Q504" s="4">
        <v>72996</v>
      </c>
      <c r="R504" s="4">
        <v>0</v>
      </c>
      <c r="S504" s="4">
        <v>0</v>
      </c>
      <c r="T504" s="23">
        <v>2.35</v>
      </c>
      <c r="U504" s="23">
        <v>3.8069999999999999</v>
      </c>
      <c r="V504" s="5" t="s">
        <v>1982</v>
      </c>
      <c r="W504" s="4">
        <v>69224</v>
      </c>
      <c r="X504" s="4">
        <v>149225</v>
      </c>
      <c r="Y504" s="11">
        <v>43437</v>
      </c>
      <c r="Z504" s="11">
        <v>46217</v>
      </c>
      <c r="AA504" s="2"/>
      <c r="AB504" s="63" t="s">
        <v>3840</v>
      </c>
      <c r="AC504" s="5" t="s">
        <v>4198</v>
      </c>
      <c r="AD504" s="2"/>
      <c r="AE504" s="9"/>
      <c r="AF504" s="23"/>
      <c r="AG504" s="9"/>
      <c r="AH504" s="5" t="s">
        <v>3950</v>
      </c>
      <c r="AI504" s="5" t="s">
        <v>1217</v>
      </c>
      <c r="AJ504" s="5" t="s">
        <v>928</v>
      </c>
      <c r="AK504" s="16" t="s">
        <v>3</v>
      </c>
      <c r="AL504" s="65" t="s">
        <v>2715</v>
      </c>
      <c r="AM504" s="31" t="s">
        <v>2217</v>
      </c>
    </row>
    <row r="505" spans="2:39" x14ac:dyDescent="0.25">
      <c r="B505" s="18" t="s">
        <v>353</v>
      </c>
      <c r="C505" s="44" t="s">
        <v>1427</v>
      </c>
      <c r="D505" s="20" t="s">
        <v>1767</v>
      </c>
      <c r="E505" s="67" t="s">
        <v>3</v>
      </c>
      <c r="F505" s="51" t="s">
        <v>3</v>
      </c>
      <c r="G505" s="37" t="s">
        <v>3</v>
      </c>
      <c r="H505" s="68" t="s">
        <v>2715</v>
      </c>
      <c r="I505" s="62" t="s">
        <v>3310</v>
      </c>
      <c r="J505" s="61" t="s">
        <v>250</v>
      </c>
      <c r="K505" s="4">
        <v>4982050</v>
      </c>
      <c r="L505" s="39">
        <v>105.21899999999999</v>
      </c>
      <c r="M505" s="4">
        <v>5260950</v>
      </c>
      <c r="N505" s="4">
        <v>5000000</v>
      </c>
      <c r="O505" s="4">
        <v>4985291</v>
      </c>
      <c r="P505" s="4">
        <v>0</v>
      </c>
      <c r="Q505" s="4">
        <v>3241</v>
      </c>
      <c r="R505" s="4">
        <v>0</v>
      </c>
      <c r="S505" s="4">
        <v>0</v>
      </c>
      <c r="T505" s="23">
        <v>2</v>
      </c>
      <c r="U505" s="23">
        <v>2.0760000000000001</v>
      </c>
      <c r="V505" s="5" t="s">
        <v>1982</v>
      </c>
      <c r="W505" s="4">
        <v>44167</v>
      </c>
      <c r="X505" s="4">
        <v>50000</v>
      </c>
      <c r="Y505" s="11">
        <v>43844</v>
      </c>
      <c r="Z505" s="11">
        <v>45679</v>
      </c>
      <c r="AA505" s="2"/>
      <c r="AB505" s="63" t="s">
        <v>3840</v>
      </c>
      <c r="AC505" s="5" t="s">
        <v>4198</v>
      </c>
      <c r="AD505" s="2"/>
      <c r="AE505" s="9"/>
      <c r="AF505" s="23"/>
      <c r="AG505" s="6"/>
      <c r="AH505" s="5" t="s">
        <v>3950</v>
      </c>
      <c r="AI505" s="5" t="s">
        <v>1217</v>
      </c>
      <c r="AJ505" s="5" t="s">
        <v>928</v>
      </c>
      <c r="AK505" s="16" t="s">
        <v>3</v>
      </c>
      <c r="AL505" s="65" t="s">
        <v>2715</v>
      </c>
      <c r="AM505" s="31" t="s">
        <v>2217</v>
      </c>
    </row>
    <row r="506" spans="2:39" x14ac:dyDescent="0.25">
      <c r="B506" s="18" t="s">
        <v>1428</v>
      </c>
      <c r="C506" s="44" t="s">
        <v>354</v>
      </c>
      <c r="D506" s="20" t="s">
        <v>1767</v>
      </c>
      <c r="E506" s="67" t="s">
        <v>3</v>
      </c>
      <c r="F506" s="51" t="s">
        <v>3</v>
      </c>
      <c r="G506" s="37" t="s">
        <v>3</v>
      </c>
      <c r="H506" s="68" t="s">
        <v>2715</v>
      </c>
      <c r="I506" s="62" t="s">
        <v>3310</v>
      </c>
      <c r="J506" s="61" t="s">
        <v>250</v>
      </c>
      <c r="K506" s="4">
        <v>19966200</v>
      </c>
      <c r="L506" s="39">
        <v>97.32</v>
      </c>
      <c r="M506" s="4">
        <v>19464000</v>
      </c>
      <c r="N506" s="4">
        <v>20000000</v>
      </c>
      <c r="O506" s="4">
        <v>19967475</v>
      </c>
      <c r="P506" s="4">
        <v>0</v>
      </c>
      <c r="Q506" s="4">
        <v>1275</v>
      </c>
      <c r="R506" s="4">
        <v>0</v>
      </c>
      <c r="S506" s="4">
        <v>0</v>
      </c>
      <c r="T506" s="23">
        <v>1.2</v>
      </c>
      <c r="U506" s="23">
        <v>1.218</v>
      </c>
      <c r="V506" s="5" t="s">
        <v>248</v>
      </c>
      <c r="W506" s="4">
        <v>96000</v>
      </c>
      <c r="X506" s="4">
        <v>0</v>
      </c>
      <c r="Y506" s="11">
        <v>44047</v>
      </c>
      <c r="Z506" s="11">
        <v>47702</v>
      </c>
      <c r="AA506" s="2"/>
      <c r="AB506" s="63" t="s">
        <v>3840</v>
      </c>
      <c r="AC506" s="5" t="s">
        <v>4198</v>
      </c>
      <c r="AD506" s="2"/>
      <c r="AE506" s="9"/>
      <c r="AF506" s="23"/>
      <c r="AG506" s="6"/>
      <c r="AH506" s="5" t="s">
        <v>3950</v>
      </c>
      <c r="AI506" s="5" t="s">
        <v>1217</v>
      </c>
      <c r="AJ506" s="5" t="s">
        <v>928</v>
      </c>
      <c r="AK506" s="16" t="s">
        <v>3</v>
      </c>
      <c r="AL506" s="65" t="s">
        <v>2715</v>
      </c>
      <c r="AM506" s="31" t="s">
        <v>2217</v>
      </c>
    </row>
    <row r="507" spans="2:39" x14ac:dyDescent="0.25">
      <c r="B507" s="18" t="s">
        <v>2849</v>
      </c>
      <c r="C507" s="44" t="s">
        <v>355</v>
      </c>
      <c r="D507" s="20" t="s">
        <v>3386</v>
      </c>
      <c r="E507" s="67" t="s">
        <v>3</v>
      </c>
      <c r="F507" s="51" t="s">
        <v>3</v>
      </c>
      <c r="G507" s="37" t="s">
        <v>3</v>
      </c>
      <c r="H507" s="68" t="s">
        <v>3842</v>
      </c>
      <c r="I507" s="62" t="s">
        <v>10</v>
      </c>
      <c r="J507" s="61" t="s">
        <v>250</v>
      </c>
      <c r="K507" s="4">
        <v>5076050</v>
      </c>
      <c r="L507" s="39">
        <v>106.014</v>
      </c>
      <c r="M507" s="4">
        <v>5300700</v>
      </c>
      <c r="N507" s="4">
        <v>5000000</v>
      </c>
      <c r="O507" s="4">
        <v>5026788</v>
      </c>
      <c r="P507" s="4">
        <v>0</v>
      </c>
      <c r="Q507" s="4">
        <v>-12955</v>
      </c>
      <c r="R507" s="4">
        <v>0</v>
      </c>
      <c r="S507" s="4">
        <v>0</v>
      </c>
      <c r="T507" s="23">
        <v>4.0999999999999996</v>
      </c>
      <c r="U507" s="23">
        <v>3.8130000000000002</v>
      </c>
      <c r="V507" s="5" t="s">
        <v>3844</v>
      </c>
      <c r="W507" s="4">
        <v>9111</v>
      </c>
      <c r="X507" s="4">
        <v>205000</v>
      </c>
      <c r="Y507" s="11">
        <v>42723</v>
      </c>
      <c r="Z507" s="11">
        <v>44910</v>
      </c>
      <c r="AA507" s="2"/>
      <c r="AB507" s="63" t="s">
        <v>3840</v>
      </c>
      <c r="AC507" s="5" t="s">
        <v>4198</v>
      </c>
      <c r="AD507" s="2"/>
      <c r="AE507" s="9"/>
      <c r="AF507" s="23"/>
      <c r="AG507" s="9"/>
      <c r="AH507" s="5" t="s">
        <v>3</v>
      </c>
      <c r="AI507" s="5" t="s">
        <v>3387</v>
      </c>
      <c r="AJ507" s="5" t="s">
        <v>1768</v>
      </c>
      <c r="AK507" s="16" t="s">
        <v>3</v>
      </c>
      <c r="AL507" s="65" t="s">
        <v>3842</v>
      </c>
      <c r="AM507" s="31" t="s">
        <v>1176</v>
      </c>
    </row>
    <row r="508" spans="2:39" x14ac:dyDescent="0.25">
      <c r="B508" s="18" t="s">
        <v>3951</v>
      </c>
      <c r="C508" s="44" t="s">
        <v>658</v>
      </c>
      <c r="D508" s="20" t="s">
        <v>2070</v>
      </c>
      <c r="E508" s="67" t="s">
        <v>3</v>
      </c>
      <c r="F508" s="51" t="s">
        <v>3</v>
      </c>
      <c r="G508" s="37" t="s">
        <v>3</v>
      </c>
      <c r="H508" s="68" t="s">
        <v>2715</v>
      </c>
      <c r="I508" s="62" t="s">
        <v>2218</v>
      </c>
      <c r="J508" s="61" t="s">
        <v>3</v>
      </c>
      <c r="K508" s="4">
        <v>10553500</v>
      </c>
      <c r="L508" s="39">
        <v>106.67400000000001</v>
      </c>
      <c r="M508" s="4">
        <v>10667400</v>
      </c>
      <c r="N508" s="4">
        <v>10000000</v>
      </c>
      <c r="O508" s="4">
        <v>10507891</v>
      </c>
      <c r="P508" s="4">
        <v>0</v>
      </c>
      <c r="Q508" s="4">
        <v>-45609</v>
      </c>
      <c r="R508" s="4">
        <v>0</v>
      </c>
      <c r="S508" s="4">
        <v>0</v>
      </c>
      <c r="T508" s="23">
        <v>2.66</v>
      </c>
      <c r="U508" s="23">
        <v>1.6839999999999999</v>
      </c>
      <c r="V508" s="5" t="s">
        <v>3844</v>
      </c>
      <c r="W508" s="4">
        <v>8128</v>
      </c>
      <c r="X508" s="4">
        <v>133000</v>
      </c>
      <c r="Y508" s="11">
        <v>43994</v>
      </c>
      <c r="Z508" s="11">
        <v>46193</v>
      </c>
      <c r="AA508" s="2"/>
      <c r="AB508" s="63" t="s">
        <v>1684</v>
      </c>
      <c r="AC508" s="5" t="s">
        <v>3</v>
      </c>
      <c r="AD508" s="2"/>
      <c r="AE508" s="6"/>
      <c r="AF508" s="23"/>
      <c r="AG508" s="6"/>
      <c r="AH508" s="5" t="s">
        <v>4294</v>
      </c>
      <c r="AI508" s="5" t="s">
        <v>2070</v>
      </c>
      <c r="AJ508" s="5" t="s">
        <v>3</v>
      </c>
      <c r="AK508" s="16" t="s">
        <v>3</v>
      </c>
      <c r="AL508" s="65" t="s">
        <v>2715</v>
      </c>
      <c r="AM508" s="31" t="s">
        <v>1769</v>
      </c>
    </row>
    <row r="509" spans="2:39" x14ac:dyDescent="0.25">
      <c r="B509" s="18" t="s">
        <v>659</v>
      </c>
      <c r="C509" s="44" t="s">
        <v>87</v>
      </c>
      <c r="D509" s="20" t="s">
        <v>2070</v>
      </c>
      <c r="E509" s="67" t="s">
        <v>3</v>
      </c>
      <c r="F509" s="51" t="s">
        <v>3</v>
      </c>
      <c r="G509" s="37" t="s">
        <v>3</v>
      </c>
      <c r="H509" s="68" t="s">
        <v>2715</v>
      </c>
      <c r="I509" s="62" t="s">
        <v>2218</v>
      </c>
      <c r="J509" s="61" t="s">
        <v>952</v>
      </c>
      <c r="K509" s="4">
        <v>2000000</v>
      </c>
      <c r="L509" s="39">
        <v>101.39700000000001</v>
      </c>
      <c r="M509" s="4">
        <v>2027940</v>
      </c>
      <c r="N509" s="4">
        <v>2000000</v>
      </c>
      <c r="O509" s="4">
        <v>2000000</v>
      </c>
      <c r="P509" s="4">
        <v>0</v>
      </c>
      <c r="Q509" s="4">
        <v>0</v>
      </c>
      <c r="R509" s="4">
        <v>0</v>
      </c>
      <c r="S509" s="4">
        <v>0</v>
      </c>
      <c r="T509" s="23">
        <v>1.42</v>
      </c>
      <c r="U509" s="23">
        <v>1.421</v>
      </c>
      <c r="V509" s="5" t="s">
        <v>12</v>
      </c>
      <c r="W509" s="4">
        <v>9546</v>
      </c>
      <c r="X509" s="4">
        <v>0</v>
      </c>
      <c r="Y509" s="11">
        <v>44074</v>
      </c>
      <c r="Z509" s="11">
        <v>45900</v>
      </c>
      <c r="AA509" s="2"/>
      <c r="AB509" s="63" t="s">
        <v>1684</v>
      </c>
      <c r="AC509" s="5" t="s">
        <v>3</v>
      </c>
      <c r="AD509" s="2"/>
      <c r="AE509" s="6"/>
      <c r="AF509" s="23"/>
      <c r="AG509" s="6"/>
      <c r="AH509" s="5" t="s">
        <v>4294</v>
      </c>
      <c r="AI509" s="5" t="s">
        <v>2070</v>
      </c>
      <c r="AJ509" s="5" t="s">
        <v>3</v>
      </c>
      <c r="AK509" s="16" t="s">
        <v>3</v>
      </c>
      <c r="AL509" s="65" t="s">
        <v>2715</v>
      </c>
      <c r="AM509" s="31" t="s">
        <v>3626</v>
      </c>
    </row>
    <row r="510" spans="2:39" x14ac:dyDescent="0.25">
      <c r="B510" s="18" t="s">
        <v>1770</v>
      </c>
      <c r="C510" s="44" t="s">
        <v>88</v>
      </c>
      <c r="D510" s="20" t="s">
        <v>3164</v>
      </c>
      <c r="E510" s="67" t="s">
        <v>3</v>
      </c>
      <c r="F510" s="51" t="s">
        <v>3</v>
      </c>
      <c r="G510" s="37" t="s">
        <v>2715</v>
      </c>
      <c r="H510" s="68" t="s">
        <v>2715</v>
      </c>
      <c r="I510" s="62" t="s">
        <v>252</v>
      </c>
      <c r="J510" s="61" t="s">
        <v>250</v>
      </c>
      <c r="K510" s="4">
        <v>4904450</v>
      </c>
      <c r="L510" s="39">
        <v>102.105</v>
      </c>
      <c r="M510" s="4">
        <v>5105250</v>
      </c>
      <c r="N510" s="4">
        <v>5000000</v>
      </c>
      <c r="O510" s="4">
        <v>4953050</v>
      </c>
      <c r="P510" s="4">
        <v>0</v>
      </c>
      <c r="Q510" s="4">
        <v>27884</v>
      </c>
      <c r="R510" s="4">
        <v>0</v>
      </c>
      <c r="S510" s="4">
        <v>0</v>
      </c>
      <c r="T510" s="23">
        <v>2.15</v>
      </c>
      <c r="U510" s="23">
        <v>2.7450000000000001</v>
      </c>
      <c r="V510" s="5" t="s">
        <v>248</v>
      </c>
      <c r="W510" s="4">
        <v>40611</v>
      </c>
      <c r="X510" s="4">
        <v>107500</v>
      </c>
      <c r="Y510" s="11">
        <v>43551</v>
      </c>
      <c r="Z510" s="11">
        <v>44788</v>
      </c>
      <c r="AA510" s="2"/>
      <c r="AB510" s="63" t="s">
        <v>3840</v>
      </c>
      <c r="AC510" s="5" t="s">
        <v>4198</v>
      </c>
      <c r="AD510" s="2"/>
      <c r="AE510" s="10">
        <v>44607</v>
      </c>
      <c r="AF510" s="23">
        <v>100</v>
      </c>
      <c r="AG510" s="6"/>
      <c r="AH510" s="5" t="s">
        <v>3952</v>
      </c>
      <c r="AI510" s="5" t="s">
        <v>356</v>
      </c>
      <c r="AJ510" s="5" t="s">
        <v>2850</v>
      </c>
      <c r="AK510" s="16" t="s">
        <v>3</v>
      </c>
      <c r="AL510" s="65" t="s">
        <v>3842</v>
      </c>
      <c r="AM510" s="31" t="s">
        <v>898</v>
      </c>
    </row>
    <row r="511" spans="2:39" x14ac:dyDescent="0.25">
      <c r="B511" s="18" t="s">
        <v>2851</v>
      </c>
      <c r="C511" s="44" t="s">
        <v>660</v>
      </c>
      <c r="D511" s="20" t="s">
        <v>2071</v>
      </c>
      <c r="E511" s="67" t="s">
        <v>3</v>
      </c>
      <c r="F511" s="51" t="s">
        <v>3</v>
      </c>
      <c r="G511" s="37" t="s">
        <v>2715</v>
      </c>
      <c r="H511" s="68" t="s">
        <v>3842</v>
      </c>
      <c r="I511" s="62" t="s">
        <v>10</v>
      </c>
      <c r="J511" s="61" t="s">
        <v>250</v>
      </c>
      <c r="K511" s="4">
        <v>9453600</v>
      </c>
      <c r="L511" s="39">
        <v>108.768</v>
      </c>
      <c r="M511" s="4">
        <v>10876800</v>
      </c>
      <c r="N511" s="4">
        <v>10000000</v>
      </c>
      <c r="O511" s="4">
        <v>9625597</v>
      </c>
      <c r="P511" s="4">
        <v>0</v>
      </c>
      <c r="Q511" s="4">
        <v>83943</v>
      </c>
      <c r="R511" s="4">
        <v>0</v>
      </c>
      <c r="S511" s="4">
        <v>0</v>
      </c>
      <c r="T511" s="23">
        <v>2.93</v>
      </c>
      <c r="U511" s="23">
        <v>3.9420000000000002</v>
      </c>
      <c r="V511" s="5" t="s">
        <v>1982</v>
      </c>
      <c r="W511" s="4">
        <v>135106</v>
      </c>
      <c r="X511" s="4">
        <v>293000</v>
      </c>
      <c r="Y511" s="11">
        <v>43431</v>
      </c>
      <c r="Z511" s="11">
        <v>45672</v>
      </c>
      <c r="AA511" s="2"/>
      <c r="AB511" s="63" t="s">
        <v>3840</v>
      </c>
      <c r="AC511" s="5" t="s">
        <v>4198</v>
      </c>
      <c r="AD511" s="2"/>
      <c r="AE511" s="11">
        <v>45611</v>
      </c>
      <c r="AF511" s="23">
        <v>100</v>
      </c>
      <c r="AG511" s="6"/>
      <c r="AH511" s="5" t="s">
        <v>3627</v>
      </c>
      <c r="AI511" s="5" t="s">
        <v>2071</v>
      </c>
      <c r="AJ511" s="5" t="s">
        <v>3</v>
      </c>
      <c r="AK511" s="16" t="s">
        <v>3</v>
      </c>
      <c r="AL511" s="65" t="s">
        <v>3842</v>
      </c>
      <c r="AM511" s="31" t="s">
        <v>1176</v>
      </c>
    </row>
    <row r="512" spans="2:39" x14ac:dyDescent="0.25">
      <c r="B512" s="18" t="s">
        <v>3953</v>
      </c>
      <c r="C512" s="44" t="s">
        <v>357</v>
      </c>
      <c r="D512" s="20" t="s">
        <v>89</v>
      </c>
      <c r="E512" s="67" t="s">
        <v>3</v>
      </c>
      <c r="F512" s="51" t="s">
        <v>3</v>
      </c>
      <c r="G512" s="37" t="s">
        <v>2715</v>
      </c>
      <c r="H512" s="68" t="s">
        <v>3842</v>
      </c>
      <c r="I512" s="62" t="s">
        <v>10</v>
      </c>
      <c r="J512" s="61" t="s">
        <v>250</v>
      </c>
      <c r="K512" s="4">
        <v>4930198</v>
      </c>
      <c r="L512" s="39">
        <v>113.79900000000001</v>
      </c>
      <c r="M512" s="4">
        <v>5689950</v>
      </c>
      <c r="N512" s="4">
        <v>5000000</v>
      </c>
      <c r="O512" s="4">
        <v>4945473</v>
      </c>
      <c r="P512" s="4">
        <v>0</v>
      </c>
      <c r="Q512" s="4">
        <v>7485</v>
      </c>
      <c r="R512" s="4">
        <v>0</v>
      </c>
      <c r="S512" s="4">
        <v>0</v>
      </c>
      <c r="T512" s="23">
        <v>4</v>
      </c>
      <c r="U512" s="23">
        <v>4.2</v>
      </c>
      <c r="V512" s="5" t="s">
        <v>3843</v>
      </c>
      <c r="W512" s="4">
        <v>50000</v>
      </c>
      <c r="X512" s="4">
        <v>200000</v>
      </c>
      <c r="Y512" s="11">
        <v>43447</v>
      </c>
      <c r="Z512" s="11">
        <v>46478</v>
      </c>
      <c r="AA512" s="2"/>
      <c r="AB512" s="63" t="s">
        <v>3840</v>
      </c>
      <c r="AC512" s="5" t="s">
        <v>4198</v>
      </c>
      <c r="AD512" s="2"/>
      <c r="AE512" s="11">
        <v>46388</v>
      </c>
      <c r="AF512" s="23">
        <v>100</v>
      </c>
      <c r="AG512" s="9"/>
      <c r="AH512" s="5" t="s">
        <v>3</v>
      </c>
      <c r="AI512" s="5" t="s">
        <v>89</v>
      </c>
      <c r="AJ512" s="5" t="s">
        <v>3</v>
      </c>
      <c r="AK512" s="16" t="s">
        <v>3</v>
      </c>
      <c r="AL512" s="65" t="s">
        <v>3842</v>
      </c>
      <c r="AM512" s="31" t="s">
        <v>1176</v>
      </c>
    </row>
    <row r="513" spans="2:39" x14ac:dyDescent="0.25">
      <c r="B513" s="18" t="s">
        <v>661</v>
      </c>
      <c r="C513" s="44" t="s">
        <v>1771</v>
      </c>
      <c r="D513" s="20" t="s">
        <v>3165</v>
      </c>
      <c r="E513" s="67" t="s">
        <v>3</v>
      </c>
      <c r="F513" s="51" t="s">
        <v>3</v>
      </c>
      <c r="G513" s="37" t="s">
        <v>2715</v>
      </c>
      <c r="H513" s="68" t="s">
        <v>2715</v>
      </c>
      <c r="I513" s="62" t="s">
        <v>2218</v>
      </c>
      <c r="J513" s="61" t="s">
        <v>250</v>
      </c>
      <c r="K513" s="4">
        <v>4841800</v>
      </c>
      <c r="L513" s="39">
        <v>110.706</v>
      </c>
      <c r="M513" s="4">
        <v>5535300</v>
      </c>
      <c r="N513" s="4">
        <v>5000000</v>
      </c>
      <c r="O513" s="4">
        <v>4890948</v>
      </c>
      <c r="P513" s="4">
        <v>0</v>
      </c>
      <c r="Q513" s="4">
        <v>20139</v>
      </c>
      <c r="R513" s="4">
        <v>0</v>
      </c>
      <c r="S513" s="4">
        <v>0</v>
      </c>
      <c r="T513" s="23">
        <v>3</v>
      </c>
      <c r="U513" s="23">
        <v>3.4889999999999999</v>
      </c>
      <c r="V513" s="5" t="s">
        <v>3312</v>
      </c>
      <c r="W513" s="4">
        <v>17083</v>
      </c>
      <c r="X513" s="4">
        <v>150000</v>
      </c>
      <c r="Y513" s="11">
        <v>43278</v>
      </c>
      <c r="Z513" s="11">
        <v>45981</v>
      </c>
      <c r="AA513" s="2"/>
      <c r="AB513" s="63" t="s">
        <v>3840</v>
      </c>
      <c r="AC513" s="5" t="s">
        <v>4198</v>
      </c>
      <c r="AD513" s="2"/>
      <c r="AE513" s="11">
        <v>45889</v>
      </c>
      <c r="AF513" s="23">
        <v>100</v>
      </c>
      <c r="AG513" s="6"/>
      <c r="AH513" s="5" t="s">
        <v>3628</v>
      </c>
      <c r="AI513" s="5" t="s">
        <v>3165</v>
      </c>
      <c r="AJ513" s="5" t="s">
        <v>3</v>
      </c>
      <c r="AK513" s="16" t="s">
        <v>3</v>
      </c>
      <c r="AL513" s="65" t="s">
        <v>3842</v>
      </c>
      <c r="AM513" s="31" t="s">
        <v>1351</v>
      </c>
    </row>
    <row r="514" spans="2:39" x14ac:dyDescent="0.25">
      <c r="B514" s="18" t="s">
        <v>2525</v>
      </c>
      <c r="C514" s="44" t="s">
        <v>2526</v>
      </c>
      <c r="D514" s="20" t="s">
        <v>1429</v>
      </c>
      <c r="E514" s="67" t="s">
        <v>3</v>
      </c>
      <c r="F514" s="51" t="s">
        <v>3</v>
      </c>
      <c r="G514" s="37" t="s">
        <v>2715</v>
      </c>
      <c r="H514" s="68" t="s">
        <v>3842</v>
      </c>
      <c r="I514" s="62" t="s">
        <v>3310</v>
      </c>
      <c r="J514" s="61" t="s">
        <v>250</v>
      </c>
      <c r="K514" s="4">
        <v>13269840</v>
      </c>
      <c r="L514" s="39">
        <v>105.768</v>
      </c>
      <c r="M514" s="4">
        <v>13749840</v>
      </c>
      <c r="N514" s="4">
        <v>13000000</v>
      </c>
      <c r="O514" s="4">
        <v>13239367</v>
      </c>
      <c r="P514" s="4">
        <v>0</v>
      </c>
      <c r="Q514" s="4">
        <v>-30473</v>
      </c>
      <c r="R514" s="4">
        <v>0</v>
      </c>
      <c r="S514" s="4">
        <v>0</v>
      </c>
      <c r="T514" s="23">
        <v>2</v>
      </c>
      <c r="U514" s="23">
        <v>1.5580000000000001</v>
      </c>
      <c r="V514" s="5" t="s">
        <v>3844</v>
      </c>
      <c r="W514" s="4">
        <v>21667</v>
      </c>
      <c r="X514" s="4">
        <v>136500</v>
      </c>
      <c r="Y514" s="11">
        <v>43985</v>
      </c>
      <c r="Z514" s="11">
        <v>45809</v>
      </c>
      <c r="AA514" s="2"/>
      <c r="AB514" s="63" t="s">
        <v>3840</v>
      </c>
      <c r="AC514" s="5" t="s">
        <v>4198</v>
      </c>
      <c r="AD514" s="2"/>
      <c r="AE514" s="11">
        <v>45778</v>
      </c>
      <c r="AF514" s="23">
        <v>100</v>
      </c>
      <c r="AG514" s="10">
        <v>45778</v>
      </c>
      <c r="AH514" s="5" t="s">
        <v>358</v>
      </c>
      <c r="AI514" s="5" t="s">
        <v>2852</v>
      </c>
      <c r="AJ514" s="5" t="s">
        <v>2527</v>
      </c>
      <c r="AK514" s="16" t="s">
        <v>3</v>
      </c>
      <c r="AL514" s="65" t="s">
        <v>3842</v>
      </c>
      <c r="AM514" s="31" t="s">
        <v>1651</v>
      </c>
    </row>
    <row r="515" spans="2:39" x14ac:dyDescent="0.25">
      <c r="B515" s="18" t="s">
        <v>3954</v>
      </c>
      <c r="C515" s="44" t="s">
        <v>3166</v>
      </c>
      <c r="D515" s="20" t="s">
        <v>1430</v>
      </c>
      <c r="E515" s="67" t="s">
        <v>3</v>
      </c>
      <c r="F515" s="51" t="s">
        <v>3</v>
      </c>
      <c r="G515" s="37" t="s">
        <v>2715</v>
      </c>
      <c r="H515" s="68" t="s">
        <v>3842</v>
      </c>
      <c r="I515" s="62" t="s">
        <v>10</v>
      </c>
      <c r="J515" s="61" t="s">
        <v>250</v>
      </c>
      <c r="K515" s="4">
        <v>4999950</v>
      </c>
      <c r="L515" s="39">
        <v>103.03100000000001</v>
      </c>
      <c r="M515" s="4">
        <v>5151550</v>
      </c>
      <c r="N515" s="4">
        <v>5000000</v>
      </c>
      <c r="O515" s="4">
        <v>4999967</v>
      </c>
      <c r="P515" s="4">
        <v>0</v>
      </c>
      <c r="Q515" s="4">
        <v>17</v>
      </c>
      <c r="R515" s="4">
        <v>0</v>
      </c>
      <c r="S515" s="4">
        <v>0</v>
      </c>
      <c r="T515" s="23">
        <v>1.8320000000000001</v>
      </c>
      <c r="U515" s="23">
        <v>1.8320000000000001</v>
      </c>
      <c r="V515" s="5" t="s">
        <v>3843</v>
      </c>
      <c r="W515" s="4">
        <v>26717</v>
      </c>
      <c r="X515" s="4">
        <v>0</v>
      </c>
      <c r="Y515" s="11">
        <v>44083</v>
      </c>
      <c r="Z515" s="11">
        <v>46675</v>
      </c>
      <c r="AA515" s="2"/>
      <c r="AB515" s="63" t="s">
        <v>3840</v>
      </c>
      <c r="AC515" s="5" t="s">
        <v>4198</v>
      </c>
      <c r="AD515" s="2"/>
      <c r="AE515" s="11">
        <v>46614</v>
      </c>
      <c r="AF515" s="23">
        <v>100</v>
      </c>
      <c r="AG515" s="6"/>
      <c r="AH515" s="5" t="s">
        <v>3</v>
      </c>
      <c r="AI515" s="5" t="s">
        <v>2072</v>
      </c>
      <c r="AJ515" s="5" t="s">
        <v>928</v>
      </c>
      <c r="AK515" s="16" t="s">
        <v>3</v>
      </c>
      <c r="AL515" s="65" t="s">
        <v>3842</v>
      </c>
      <c r="AM515" s="31" t="s">
        <v>1176</v>
      </c>
    </row>
    <row r="516" spans="2:39" x14ac:dyDescent="0.25">
      <c r="B516" s="18" t="s">
        <v>662</v>
      </c>
      <c r="C516" s="44" t="s">
        <v>1005</v>
      </c>
      <c r="D516" s="20" t="s">
        <v>90</v>
      </c>
      <c r="E516" s="67" t="s">
        <v>3</v>
      </c>
      <c r="F516" s="51" t="s">
        <v>3</v>
      </c>
      <c r="G516" s="37" t="s">
        <v>3842</v>
      </c>
      <c r="H516" s="68" t="s">
        <v>3842</v>
      </c>
      <c r="I516" s="62" t="s">
        <v>3310</v>
      </c>
      <c r="J516" s="61" t="s">
        <v>250</v>
      </c>
      <c r="K516" s="4">
        <v>5005800</v>
      </c>
      <c r="L516" s="39">
        <v>112.917</v>
      </c>
      <c r="M516" s="4">
        <v>5645850</v>
      </c>
      <c r="N516" s="4">
        <v>5000000</v>
      </c>
      <c r="O516" s="4">
        <v>5004685</v>
      </c>
      <c r="P516" s="4">
        <v>0</v>
      </c>
      <c r="Q516" s="4">
        <v>-817</v>
      </c>
      <c r="R516" s="4">
        <v>0</v>
      </c>
      <c r="S516" s="4">
        <v>0</v>
      </c>
      <c r="T516" s="23">
        <v>3.55</v>
      </c>
      <c r="U516" s="23">
        <v>3.53</v>
      </c>
      <c r="V516" s="5" t="s">
        <v>12</v>
      </c>
      <c r="W516" s="4">
        <v>52264</v>
      </c>
      <c r="X516" s="4">
        <v>177500</v>
      </c>
      <c r="Y516" s="11">
        <v>43601</v>
      </c>
      <c r="Z516" s="11">
        <v>46096</v>
      </c>
      <c r="AA516" s="2"/>
      <c r="AB516" s="63" t="s">
        <v>3840</v>
      </c>
      <c r="AC516" s="5" t="s">
        <v>4198</v>
      </c>
      <c r="AD516" s="2"/>
      <c r="AE516" s="11">
        <v>46006</v>
      </c>
      <c r="AF516" s="23">
        <v>100</v>
      </c>
      <c r="AG516" s="10">
        <v>46006</v>
      </c>
      <c r="AH516" s="5" t="s">
        <v>3</v>
      </c>
      <c r="AI516" s="5" t="s">
        <v>90</v>
      </c>
      <c r="AJ516" s="5" t="s">
        <v>3</v>
      </c>
      <c r="AK516" s="16" t="s">
        <v>3</v>
      </c>
      <c r="AL516" s="65" t="s">
        <v>3842</v>
      </c>
      <c r="AM516" s="31" t="s">
        <v>1651</v>
      </c>
    </row>
    <row r="517" spans="2:39" x14ac:dyDescent="0.25">
      <c r="B517" s="18" t="s">
        <v>1772</v>
      </c>
      <c r="C517" s="44" t="s">
        <v>3167</v>
      </c>
      <c r="D517" s="20" t="s">
        <v>1006</v>
      </c>
      <c r="E517" s="67" t="s">
        <v>3</v>
      </c>
      <c r="F517" s="51" t="s">
        <v>3</v>
      </c>
      <c r="G517" s="37" t="s">
        <v>2715</v>
      </c>
      <c r="H517" s="68" t="s">
        <v>3842</v>
      </c>
      <c r="I517" s="62" t="s">
        <v>3310</v>
      </c>
      <c r="J517" s="61" t="s">
        <v>250</v>
      </c>
      <c r="K517" s="4">
        <v>8876470</v>
      </c>
      <c r="L517" s="39">
        <v>110.486</v>
      </c>
      <c r="M517" s="4">
        <v>9943740</v>
      </c>
      <c r="N517" s="4">
        <v>9000000</v>
      </c>
      <c r="O517" s="4">
        <v>8917501</v>
      </c>
      <c r="P517" s="4">
        <v>0</v>
      </c>
      <c r="Q517" s="4">
        <v>18798</v>
      </c>
      <c r="R517" s="4">
        <v>0</v>
      </c>
      <c r="S517" s="4">
        <v>0</v>
      </c>
      <c r="T517" s="23">
        <v>3.65</v>
      </c>
      <c r="U517" s="23">
        <v>3.9020000000000001</v>
      </c>
      <c r="V517" s="5" t="s">
        <v>3312</v>
      </c>
      <c r="W517" s="4">
        <v>54750</v>
      </c>
      <c r="X517" s="4">
        <v>328500</v>
      </c>
      <c r="Y517" s="11">
        <v>43551</v>
      </c>
      <c r="Z517" s="11">
        <v>45597</v>
      </c>
      <c r="AA517" s="2"/>
      <c r="AB517" s="63" t="s">
        <v>3840</v>
      </c>
      <c r="AC517" s="5" t="s">
        <v>4198</v>
      </c>
      <c r="AD517" s="2"/>
      <c r="AE517" s="11">
        <v>45505</v>
      </c>
      <c r="AF517" s="23">
        <v>100</v>
      </c>
      <c r="AG517" s="10">
        <v>45505</v>
      </c>
      <c r="AH517" s="5" t="s">
        <v>2073</v>
      </c>
      <c r="AI517" s="5" t="s">
        <v>1006</v>
      </c>
      <c r="AJ517" s="5" t="s">
        <v>3</v>
      </c>
      <c r="AK517" s="16" t="s">
        <v>3</v>
      </c>
      <c r="AL517" s="65" t="s">
        <v>3842</v>
      </c>
      <c r="AM517" s="31" t="s">
        <v>1651</v>
      </c>
    </row>
    <row r="518" spans="2:39" x14ac:dyDescent="0.25">
      <c r="B518" s="18" t="s">
        <v>2853</v>
      </c>
      <c r="C518" s="44" t="s">
        <v>4295</v>
      </c>
      <c r="D518" s="20" t="s">
        <v>1006</v>
      </c>
      <c r="E518" s="67" t="s">
        <v>3</v>
      </c>
      <c r="F518" s="51" t="s">
        <v>3</v>
      </c>
      <c r="G518" s="37" t="s">
        <v>2715</v>
      </c>
      <c r="H518" s="68" t="s">
        <v>3842</v>
      </c>
      <c r="I518" s="62" t="s">
        <v>3310</v>
      </c>
      <c r="J518" s="61" t="s">
        <v>250</v>
      </c>
      <c r="K518" s="4">
        <v>4818910</v>
      </c>
      <c r="L518" s="39">
        <v>114.056</v>
      </c>
      <c r="M518" s="4">
        <v>5702800</v>
      </c>
      <c r="N518" s="4">
        <v>5000000</v>
      </c>
      <c r="O518" s="4">
        <v>4865650</v>
      </c>
      <c r="P518" s="4">
        <v>0</v>
      </c>
      <c r="Q518" s="4">
        <v>22095</v>
      </c>
      <c r="R518" s="4">
        <v>0</v>
      </c>
      <c r="S518" s="4">
        <v>0</v>
      </c>
      <c r="T518" s="23">
        <v>3.6</v>
      </c>
      <c r="U518" s="23">
        <v>4.1689999999999996</v>
      </c>
      <c r="V518" s="5" t="s">
        <v>3843</v>
      </c>
      <c r="W518" s="4">
        <v>38000</v>
      </c>
      <c r="X518" s="4">
        <v>180000</v>
      </c>
      <c r="Y518" s="11">
        <v>43553</v>
      </c>
      <c r="Z518" s="11">
        <v>46127</v>
      </c>
      <c r="AA518" s="2"/>
      <c r="AB518" s="63" t="s">
        <v>3840</v>
      </c>
      <c r="AC518" s="5" t="s">
        <v>4198</v>
      </c>
      <c r="AD518" s="2"/>
      <c r="AE518" s="11">
        <v>46037</v>
      </c>
      <c r="AF518" s="23">
        <v>100</v>
      </c>
      <c r="AG518" s="9"/>
      <c r="AH518" s="5" t="s">
        <v>2073</v>
      </c>
      <c r="AI518" s="5" t="s">
        <v>1006</v>
      </c>
      <c r="AJ518" s="5" t="s">
        <v>3</v>
      </c>
      <c r="AK518" s="16" t="s">
        <v>3</v>
      </c>
      <c r="AL518" s="65" t="s">
        <v>3842</v>
      </c>
      <c r="AM518" s="31" t="s">
        <v>1651</v>
      </c>
    </row>
    <row r="519" spans="2:39" x14ac:dyDescent="0.25">
      <c r="B519" s="18" t="s">
        <v>3955</v>
      </c>
      <c r="C519" s="44" t="s">
        <v>1218</v>
      </c>
      <c r="D519" s="20" t="s">
        <v>359</v>
      </c>
      <c r="E519" s="67" t="s">
        <v>3</v>
      </c>
      <c r="F519" s="51" t="s">
        <v>3</v>
      </c>
      <c r="G519" s="37" t="s">
        <v>2715</v>
      </c>
      <c r="H519" s="68" t="s">
        <v>3842</v>
      </c>
      <c r="I519" s="62" t="s">
        <v>10</v>
      </c>
      <c r="J519" s="61" t="s">
        <v>250</v>
      </c>
      <c r="K519" s="4">
        <v>3992280</v>
      </c>
      <c r="L519" s="39">
        <v>105.553</v>
      </c>
      <c r="M519" s="4">
        <v>4222120</v>
      </c>
      <c r="N519" s="4">
        <v>4000000</v>
      </c>
      <c r="O519" s="4">
        <v>3994311</v>
      </c>
      <c r="P519" s="4">
        <v>0</v>
      </c>
      <c r="Q519" s="4">
        <v>1477</v>
      </c>
      <c r="R519" s="4">
        <v>0</v>
      </c>
      <c r="S519" s="4">
        <v>0</v>
      </c>
      <c r="T519" s="23">
        <v>2.75</v>
      </c>
      <c r="U519" s="23">
        <v>2.7909999999999999</v>
      </c>
      <c r="V519" s="5" t="s">
        <v>12</v>
      </c>
      <c r="W519" s="4">
        <v>36667</v>
      </c>
      <c r="X519" s="4">
        <v>114889</v>
      </c>
      <c r="Y519" s="11">
        <v>43689</v>
      </c>
      <c r="Z519" s="11">
        <v>45536</v>
      </c>
      <c r="AA519" s="2"/>
      <c r="AB519" s="63" t="s">
        <v>3840</v>
      </c>
      <c r="AC519" s="5" t="s">
        <v>4198</v>
      </c>
      <c r="AD519" s="2"/>
      <c r="AE519" s="11">
        <v>45505</v>
      </c>
      <c r="AF519" s="23">
        <v>100</v>
      </c>
      <c r="AG519" s="9"/>
      <c r="AH519" s="5" t="s">
        <v>360</v>
      </c>
      <c r="AI519" s="5" t="s">
        <v>359</v>
      </c>
      <c r="AJ519" s="5" t="s">
        <v>3</v>
      </c>
      <c r="AK519" s="16" t="s">
        <v>3</v>
      </c>
      <c r="AL519" s="65" t="s">
        <v>3842</v>
      </c>
      <c r="AM519" s="31" t="s">
        <v>1176</v>
      </c>
    </row>
    <row r="520" spans="2:39" x14ac:dyDescent="0.25">
      <c r="B520" s="18" t="s">
        <v>663</v>
      </c>
      <c r="C520" s="44" t="s">
        <v>2854</v>
      </c>
      <c r="D520" s="20" t="s">
        <v>3956</v>
      </c>
      <c r="E520" s="67" t="s">
        <v>3</v>
      </c>
      <c r="F520" s="51" t="s">
        <v>3</v>
      </c>
      <c r="G520" s="37" t="s">
        <v>3842</v>
      </c>
      <c r="H520" s="68" t="s">
        <v>2715</v>
      </c>
      <c r="I520" s="62" t="s">
        <v>1358</v>
      </c>
      <c r="J520" s="61" t="s">
        <v>250</v>
      </c>
      <c r="K520" s="4">
        <v>3992360</v>
      </c>
      <c r="L520" s="39">
        <v>109.952</v>
      </c>
      <c r="M520" s="4">
        <v>4398080</v>
      </c>
      <c r="N520" s="4">
        <v>4000000</v>
      </c>
      <c r="O520" s="4">
        <v>3993819</v>
      </c>
      <c r="P520" s="4">
        <v>0</v>
      </c>
      <c r="Q520" s="4">
        <v>1019</v>
      </c>
      <c r="R520" s="4">
        <v>0</v>
      </c>
      <c r="S520" s="4">
        <v>0</v>
      </c>
      <c r="T520" s="23">
        <v>2.6</v>
      </c>
      <c r="U520" s="23">
        <v>2.63</v>
      </c>
      <c r="V520" s="5" t="s">
        <v>1982</v>
      </c>
      <c r="W520" s="4">
        <v>45644</v>
      </c>
      <c r="X520" s="4">
        <v>104000</v>
      </c>
      <c r="Y520" s="11">
        <v>43664</v>
      </c>
      <c r="Z520" s="11">
        <v>46226</v>
      </c>
      <c r="AA520" s="2"/>
      <c r="AB520" s="63" t="s">
        <v>3840</v>
      </c>
      <c r="AC520" s="5" t="s">
        <v>4198</v>
      </c>
      <c r="AD520" s="2"/>
      <c r="AE520" s="11">
        <v>46165</v>
      </c>
      <c r="AF520" s="23">
        <v>100</v>
      </c>
      <c r="AG520" s="9"/>
      <c r="AH520" s="5" t="s">
        <v>1007</v>
      </c>
      <c r="AI520" s="5" t="s">
        <v>1008</v>
      </c>
      <c r="AJ520" s="5" t="s">
        <v>2855</v>
      </c>
      <c r="AK520" s="16" t="s">
        <v>3</v>
      </c>
      <c r="AL520" s="65" t="s">
        <v>3842</v>
      </c>
      <c r="AM520" s="31" t="s">
        <v>559</v>
      </c>
    </row>
    <row r="521" spans="2:39" x14ac:dyDescent="0.25">
      <c r="B521" s="18" t="s">
        <v>1773</v>
      </c>
      <c r="C521" s="44" t="s">
        <v>1219</v>
      </c>
      <c r="D521" s="20" t="s">
        <v>2293</v>
      </c>
      <c r="E521" s="67" t="s">
        <v>3</v>
      </c>
      <c r="F521" s="51" t="s">
        <v>3</v>
      </c>
      <c r="G521" s="37" t="s">
        <v>3842</v>
      </c>
      <c r="H521" s="68" t="s">
        <v>2715</v>
      </c>
      <c r="I521" s="62" t="s">
        <v>252</v>
      </c>
      <c r="J521" s="61" t="s">
        <v>250</v>
      </c>
      <c r="K521" s="4">
        <v>4823750</v>
      </c>
      <c r="L521" s="39">
        <v>111.13</v>
      </c>
      <c r="M521" s="4">
        <v>5556500</v>
      </c>
      <c r="N521" s="4">
        <v>5000000</v>
      </c>
      <c r="O521" s="4">
        <v>4875654</v>
      </c>
      <c r="P521" s="4">
        <v>0</v>
      </c>
      <c r="Q521" s="4">
        <v>25354</v>
      </c>
      <c r="R521" s="4">
        <v>0</v>
      </c>
      <c r="S521" s="4">
        <v>0</v>
      </c>
      <c r="T521" s="23">
        <v>3.25</v>
      </c>
      <c r="U521" s="23">
        <v>3.8679999999999999</v>
      </c>
      <c r="V521" s="5" t="s">
        <v>3844</v>
      </c>
      <c r="W521" s="4">
        <v>13542</v>
      </c>
      <c r="X521" s="4">
        <v>162500</v>
      </c>
      <c r="Y521" s="11">
        <v>43431</v>
      </c>
      <c r="Z521" s="11">
        <v>45809</v>
      </c>
      <c r="AA521" s="2"/>
      <c r="AB521" s="63" t="s">
        <v>3840</v>
      </c>
      <c r="AC521" s="5" t="s">
        <v>4198</v>
      </c>
      <c r="AD521" s="2"/>
      <c r="AE521" s="10">
        <v>45779</v>
      </c>
      <c r="AF521" s="23">
        <v>100</v>
      </c>
      <c r="AG521" s="6"/>
      <c r="AH521" s="5" t="s">
        <v>3957</v>
      </c>
      <c r="AI521" s="5" t="s">
        <v>2293</v>
      </c>
      <c r="AJ521" s="5" t="s">
        <v>3</v>
      </c>
      <c r="AK521" s="16" t="s">
        <v>3</v>
      </c>
      <c r="AL521" s="65" t="s">
        <v>3842</v>
      </c>
      <c r="AM521" s="31" t="s">
        <v>898</v>
      </c>
    </row>
    <row r="522" spans="2:39" x14ac:dyDescent="0.25">
      <c r="B522" s="18" t="s">
        <v>2856</v>
      </c>
      <c r="C522" s="44" t="s">
        <v>2294</v>
      </c>
      <c r="D522" s="20" t="s">
        <v>2293</v>
      </c>
      <c r="E522" s="67" t="s">
        <v>3</v>
      </c>
      <c r="F522" s="51" t="s">
        <v>3</v>
      </c>
      <c r="G522" s="37" t="s">
        <v>3842</v>
      </c>
      <c r="H522" s="68" t="s">
        <v>2715</v>
      </c>
      <c r="I522" s="62" t="s">
        <v>252</v>
      </c>
      <c r="J522" s="61" t="s">
        <v>250</v>
      </c>
      <c r="K522" s="4">
        <v>4992550</v>
      </c>
      <c r="L522" s="39">
        <v>101.959</v>
      </c>
      <c r="M522" s="4">
        <v>5097950</v>
      </c>
      <c r="N522" s="4">
        <v>5000000</v>
      </c>
      <c r="O522" s="4">
        <v>4998528</v>
      </c>
      <c r="P522" s="4">
        <v>0</v>
      </c>
      <c r="Q522" s="4">
        <v>1530</v>
      </c>
      <c r="R522" s="4">
        <v>0</v>
      </c>
      <c r="S522" s="4">
        <v>0</v>
      </c>
      <c r="T522" s="23">
        <v>2.5499999999999998</v>
      </c>
      <c r="U522" s="23">
        <v>2.5819999999999999</v>
      </c>
      <c r="V522" s="5" t="s">
        <v>3844</v>
      </c>
      <c r="W522" s="4">
        <v>7792</v>
      </c>
      <c r="X522" s="4">
        <v>127500</v>
      </c>
      <c r="Y522" s="11">
        <v>42710</v>
      </c>
      <c r="Z522" s="11">
        <v>44539</v>
      </c>
      <c r="AA522" s="2"/>
      <c r="AB522" s="63" t="s">
        <v>3840</v>
      </c>
      <c r="AC522" s="5" t="s">
        <v>4198</v>
      </c>
      <c r="AD522" s="2"/>
      <c r="AE522" s="11">
        <v>44509</v>
      </c>
      <c r="AF522" s="23">
        <v>100</v>
      </c>
      <c r="AG522" s="6"/>
      <c r="AH522" s="5" t="s">
        <v>3957</v>
      </c>
      <c r="AI522" s="5" t="s">
        <v>2293</v>
      </c>
      <c r="AJ522" s="5" t="s">
        <v>3</v>
      </c>
      <c r="AK522" s="16" t="s">
        <v>3</v>
      </c>
      <c r="AL522" s="65" t="s">
        <v>3842</v>
      </c>
      <c r="AM522" s="31" t="s">
        <v>898</v>
      </c>
    </row>
    <row r="523" spans="2:39" x14ac:dyDescent="0.25">
      <c r="B523" s="18" t="s">
        <v>3958</v>
      </c>
      <c r="C523" s="44" t="s">
        <v>3168</v>
      </c>
      <c r="D523" s="20" t="s">
        <v>2293</v>
      </c>
      <c r="E523" s="67" t="s">
        <v>3</v>
      </c>
      <c r="F523" s="51" t="s">
        <v>3</v>
      </c>
      <c r="G523" s="37" t="s">
        <v>3842</v>
      </c>
      <c r="H523" s="68" t="s">
        <v>2715</v>
      </c>
      <c r="I523" s="62" t="s">
        <v>252</v>
      </c>
      <c r="J523" s="61" t="s">
        <v>250</v>
      </c>
      <c r="K523" s="4">
        <v>4994300</v>
      </c>
      <c r="L523" s="39">
        <v>107.39400000000001</v>
      </c>
      <c r="M523" s="4">
        <v>5369700</v>
      </c>
      <c r="N523" s="4">
        <v>5000000</v>
      </c>
      <c r="O523" s="4">
        <v>4997099</v>
      </c>
      <c r="P523" s="4">
        <v>0</v>
      </c>
      <c r="Q523" s="4">
        <v>1121</v>
      </c>
      <c r="R523" s="4">
        <v>0</v>
      </c>
      <c r="S523" s="4">
        <v>0</v>
      </c>
      <c r="T523" s="23">
        <v>3.5</v>
      </c>
      <c r="U523" s="23">
        <v>3.5249999999999999</v>
      </c>
      <c r="V523" s="5" t="s">
        <v>3844</v>
      </c>
      <c r="W523" s="4">
        <v>11181</v>
      </c>
      <c r="X523" s="4">
        <v>175000</v>
      </c>
      <c r="Y523" s="11">
        <v>43257</v>
      </c>
      <c r="Z523" s="11">
        <v>45085</v>
      </c>
      <c r="AA523" s="2"/>
      <c r="AB523" s="63" t="s">
        <v>3840</v>
      </c>
      <c r="AC523" s="5" t="s">
        <v>4198</v>
      </c>
      <c r="AD523" s="2"/>
      <c r="AE523" s="11">
        <v>45055</v>
      </c>
      <c r="AF523" s="23">
        <v>100</v>
      </c>
      <c r="AG523" s="6"/>
      <c r="AH523" s="5" t="s">
        <v>3957</v>
      </c>
      <c r="AI523" s="5" t="s">
        <v>2293</v>
      </c>
      <c r="AJ523" s="5" t="s">
        <v>3</v>
      </c>
      <c r="AK523" s="16" t="s">
        <v>3</v>
      </c>
      <c r="AL523" s="65" t="s">
        <v>3842</v>
      </c>
      <c r="AM523" s="31" t="s">
        <v>898</v>
      </c>
    </row>
    <row r="524" spans="2:39" x14ac:dyDescent="0.25">
      <c r="B524" s="18" t="s">
        <v>1774</v>
      </c>
      <c r="C524" s="44" t="s">
        <v>2857</v>
      </c>
      <c r="D524" s="20" t="s">
        <v>664</v>
      </c>
      <c r="E524" s="67" t="s">
        <v>3</v>
      </c>
      <c r="F524" s="51" t="s">
        <v>3</v>
      </c>
      <c r="G524" s="37" t="s">
        <v>2715</v>
      </c>
      <c r="H524" s="68" t="s">
        <v>3842</v>
      </c>
      <c r="I524" s="62" t="s">
        <v>1157</v>
      </c>
      <c r="J524" s="61" t="s">
        <v>250</v>
      </c>
      <c r="K524" s="4">
        <v>14140212</v>
      </c>
      <c r="L524" s="39">
        <v>112.569</v>
      </c>
      <c r="M524" s="4">
        <v>15759660</v>
      </c>
      <c r="N524" s="4">
        <v>14000000</v>
      </c>
      <c r="O524" s="4">
        <v>14135437</v>
      </c>
      <c r="P524" s="4">
        <v>0</v>
      </c>
      <c r="Q524" s="4">
        <v>-4775</v>
      </c>
      <c r="R524" s="4">
        <v>0</v>
      </c>
      <c r="S524" s="4">
        <v>0</v>
      </c>
      <c r="T524" s="23">
        <v>4.625</v>
      </c>
      <c r="U524" s="23">
        <v>4.3810000000000002</v>
      </c>
      <c r="V524" s="5" t="s">
        <v>1982</v>
      </c>
      <c r="W524" s="4">
        <v>307563</v>
      </c>
      <c r="X524" s="4">
        <v>0</v>
      </c>
      <c r="Y524" s="11">
        <v>44123</v>
      </c>
      <c r="Z524" s="11">
        <v>45848</v>
      </c>
      <c r="AA524" s="2"/>
      <c r="AB524" s="63" t="s">
        <v>3840</v>
      </c>
      <c r="AC524" s="5" t="s">
        <v>4198</v>
      </c>
      <c r="AD524" s="2"/>
      <c r="AE524" s="11">
        <v>45818</v>
      </c>
      <c r="AF524" s="23">
        <v>100</v>
      </c>
      <c r="AG524" s="10">
        <v>45818</v>
      </c>
      <c r="AH524" s="5" t="s">
        <v>4296</v>
      </c>
      <c r="AI524" s="5" t="s">
        <v>664</v>
      </c>
      <c r="AJ524" s="5" t="s">
        <v>3</v>
      </c>
      <c r="AK524" s="16" t="s">
        <v>3</v>
      </c>
      <c r="AL524" s="65" t="s">
        <v>3842</v>
      </c>
      <c r="AM524" s="31" t="s">
        <v>926</v>
      </c>
    </row>
    <row r="525" spans="2:39" x14ac:dyDescent="0.25">
      <c r="B525" s="18" t="s">
        <v>2858</v>
      </c>
      <c r="C525" s="44" t="s">
        <v>3959</v>
      </c>
      <c r="D525" s="20" t="s">
        <v>4297</v>
      </c>
      <c r="E525" s="67" t="s">
        <v>3</v>
      </c>
      <c r="F525" s="51" t="s">
        <v>3</v>
      </c>
      <c r="G525" s="37" t="s">
        <v>2715</v>
      </c>
      <c r="H525" s="68" t="s">
        <v>3842</v>
      </c>
      <c r="I525" s="62" t="s">
        <v>3310</v>
      </c>
      <c r="J525" s="61" t="s">
        <v>250</v>
      </c>
      <c r="K525" s="4">
        <v>1599264</v>
      </c>
      <c r="L525" s="39">
        <v>107.31100000000001</v>
      </c>
      <c r="M525" s="4">
        <v>1716976</v>
      </c>
      <c r="N525" s="4">
        <v>1600000</v>
      </c>
      <c r="O525" s="4">
        <v>1599481</v>
      </c>
      <c r="P525" s="4">
        <v>0</v>
      </c>
      <c r="Q525" s="4">
        <v>141</v>
      </c>
      <c r="R525" s="4">
        <v>0</v>
      </c>
      <c r="S525" s="4">
        <v>0</v>
      </c>
      <c r="T525" s="23">
        <v>2.7</v>
      </c>
      <c r="U525" s="23">
        <v>2.71</v>
      </c>
      <c r="V525" s="5" t="s">
        <v>3844</v>
      </c>
      <c r="W525" s="4">
        <v>2040</v>
      </c>
      <c r="X525" s="4">
        <v>43200</v>
      </c>
      <c r="Y525" s="11">
        <v>43621</v>
      </c>
      <c r="Z525" s="11">
        <v>45457</v>
      </c>
      <c r="AA525" s="2"/>
      <c r="AB525" s="63" t="s">
        <v>3840</v>
      </c>
      <c r="AC525" s="5" t="s">
        <v>4198</v>
      </c>
      <c r="AD525" s="2"/>
      <c r="AE525" s="11">
        <v>45426</v>
      </c>
      <c r="AF525" s="23">
        <v>100</v>
      </c>
      <c r="AG525" s="6"/>
      <c r="AH525" s="5" t="s">
        <v>4298</v>
      </c>
      <c r="AI525" s="5" t="s">
        <v>4297</v>
      </c>
      <c r="AJ525" s="5" t="s">
        <v>3</v>
      </c>
      <c r="AK525" s="16" t="s">
        <v>3</v>
      </c>
      <c r="AL525" s="65" t="s">
        <v>3842</v>
      </c>
      <c r="AM525" s="31" t="s">
        <v>1651</v>
      </c>
    </row>
    <row r="526" spans="2:39" x14ac:dyDescent="0.25">
      <c r="B526" s="18" t="s">
        <v>3960</v>
      </c>
      <c r="C526" s="44" t="s">
        <v>3169</v>
      </c>
      <c r="D526" s="20" t="s">
        <v>91</v>
      </c>
      <c r="E526" s="67" t="s">
        <v>3</v>
      </c>
      <c r="F526" s="51" t="s">
        <v>3</v>
      </c>
      <c r="G526" s="37" t="s">
        <v>3</v>
      </c>
      <c r="H526" s="68" t="s">
        <v>3842</v>
      </c>
      <c r="I526" s="62" t="s">
        <v>3310</v>
      </c>
      <c r="J526" s="61" t="s">
        <v>3</v>
      </c>
      <c r="K526" s="4">
        <v>7000000</v>
      </c>
      <c r="L526" s="39">
        <v>110</v>
      </c>
      <c r="M526" s="4">
        <v>7700000</v>
      </c>
      <c r="N526" s="4">
        <v>7000000</v>
      </c>
      <c r="O526" s="4">
        <v>7000000</v>
      </c>
      <c r="P526" s="4">
        <v>0</v>
      </c>
      <c r="Q526" s="4">
        <v>0</v>
      </c>
      <c r="R526" s="4">
        <v>0</v>
      </c>
      <c r="S526" s="4">
        <v>0</v>
      </c>
      <c r="T526" s="23">
        <v>4.07</v>
      </c>
      <c r="U526" s="23">
        <v>4.07</v>
      </c>
      <c r="V526" s="5" t="s">
        <v>12</v>
      </c>
      <c r="W526" s="4">
        <v>85470</v>
      </c>
      <c r="X526" s="4">
        <v>284900</v>
      </c>
      <c r="Y526" s="11">
        <v>43537</v>
      </c>
      <c r="Z526" s="11">
        <v>46094</v>
      </c>
      <c r="AA526" s="2"/>
      <c r="AB526" s="63" t="s">
        <v>1684</v>
      </c>
      <c r="AC526" s="5" t="s">
        <v>3</v>
      </c>
      <c r="AD526" s="2"/>
      <c r="AE526" s="9"/>
      <c r="AF526" s="23"/>
      <c r="AG526" s="6"/>
      <c r="AH526" s="5" t="s">
        <v>1220</v>
      </c>
      <c r="AI526" s="5" t="s">
        <v>91</v>
      </c>
      <c r="AJ526" s="5" t="s">
        <v>3</v>
      </c>
      <c r="AK526" s="16" t="s">
        <v>3</v>
      </c>
      <c r="AL526" s="65" t="s">
        <v>3842</v>
      </c>
      <c r="AM526" s="31" t="s">
        <v>309</v>
      </c>
    </row>
    <row r="527" spans="2:39" x14ac:dyDescent="0.25">
      <c r="B527" s="18" t="s">
        <v>665</v>
      </c>
      <c r="C527" s="44" t="s">
        <v>3629</v>
      </c>
      <c r="D527" s="20" t="s">
        <v>1221</v>
      </c>
      <c r="E527" s="67" t="s">
        <v>3</v>
      </c>
      <c r="F527" s="51" t="s">
        <v>3</v>
      </c>
      <c r="G527" s="37" t="s">
        <v>2715</v>
      </c>
      <c r="H527" s="68" t="s">
        <v>3842</v>
      </c>
      <c r="I527" s="62" t="s">
        <v>10</v>
      </c>
      <c r="J527" s="61" t="s">
        <v>250</v>
      </c>
      <c r="K527" s="4">
        <v>2948490</v>
      </c>
      <c r="L527" s="39">
        <v>102.625</v>
      </c>
      <c r="M527" s="4">
        <v>3078750</v>
      </c>
      <c r="N527" s="4">
        <v>3000000</v>
      </c>
      <c r="O527" s="4">
        <v>2981548</v>
      </c>
      <c r="P527" s="4">
        <v>0</v>
      </c>
      <c r="Q527" s="4">
        <v>16361</v>
      </c>
      <c r="R527" s="4">
        <v>0</v>
      </c>
      <c r="S527" s="4">
        <v>0</v>
      </c>
      <c r="T527" s="23">
        <v>3.375</v>
      </c>
      <c r="U527" s="23">
        <v>3.9609999999999999</v>
      </c>
      <c r="V527" s="5" t="s">
        <v>248</v>
      </c>
      <c r="W527" s="4">
        <v>42188</v>
      </c>
      <c r="X527" s="4">
        <v>101250</v>
      </c>
      <c r="Y527" s="11">
        <v>43441</v>
      </c>
      <c r="Z527" s="11">
        <v>44593</v>
      </c>
      <c r="AA527" s="2"/>
      <c r="AB527" s="63" t="s">
        <v>3840</v>
      </c>
      <c r="AC527" s="5" t="s">
        <v>4198</v>
      </c>
      <c r="AD527" s="2"/>
      <c r="AE527" s="11">
        <v>44531</v>
      </c>
      <c r="AF527" s="23">
        <v>100</v>
      </c>
      <c r="AG527" s="6"/>
      <c r="AH527" s="5" t="s">
        <v>3</v>
      </c>
      <c r="AI527" s="5" t="s">
        <v>3961</v>
      </c>
      <c r="AJ527" s="5" t="s">
        <v>928</v>
      </c>
      <c r="AK527" s="16" t="s">
        <v>3</v>
      </c>
      <c r="AL527" s="65" t="s">
        <v>3842</v>
      </c>
      <c r="AM527" s="31" t="s">
        <v>1176</v>
      </c>
    </row>
    <row r="528" spans="2:39" x14ac:dyDescent="0.25">
      <c r="B528" s="18" t="s">
        <v>1775</v>
      </c>
      <c r="C528" s="44" t="s">
        <v>361</v>
      </c>
      <c r="D528" s="20" t="s">
        <v>3962</v>
      </c>
      <c r="E528" s="67" t="s">
        <v>3</v>
      </c>
      <c r="F528" s="51" t="s">
        <v>3</v>
      </c>
      <c r="G528" s="37" t="s">
        <v>2715</v>
      </c>
      <c r="H528" s="68" t="s">
        <v>3842</v>
      </c>
      <c r="I528" s="62" t="s">
        <v>10</v>
      </c>
      <c r="J528" s="61" t="s">
        <v>250</v>
      </c>
      <c r="K528" s="4">
        <v>1990860</v>
      </c>
      <c r="L528" s="39">
        <v>100.46</v>
      </c>
      <c r="M528" s="4">
        <v>2009200</v>
      </c>
      <c r="N528" s="4">
        <v>2000000</v>
      </c>
      <c r="O528" s="4">
        <v>1999538</v>
      </c>
      <c r="P528" s="4">
        <v>0</v>
      </c>
      <c r="Q528" s="4">
        <v>1819</v>
      </c>
      <c r="R528" s="4">
        <v>0</v>
      </c>
      <c r="S528" s="4">
        <v>0</v>
      </c>
      <c r="T528" s="23">
        <v>3.3</v>
      </c>
      <c r="U528" s="23">
        <v>3.3940000000000001</v>
      </c>
      <c r="V528" s="5" t="s">
        <v>3843</v>
      </c>
      <c r="W528" s="4">
        <v>16500</v>
      </c>
      <c r="X528" s="4">
        <v>66000</v>
      </c>
      <c r="Y528" s="11">
        <v>42312</v>
      </c>
      <c r="Z528" s="11">
        <v>44287</v>
      </c>
      <c r="AA528" s="2"/>
      <c r="AB528" s="63" t="s">
        <v>3840</v>
      </c>
      <c r="AC528" s="5" t="s">
        <v>9</v>
      </c>
      <c r="AD528" s="2"/>
      <c r="AE528" s="11">
        <v>44256</v>
      </c>
      <c r="AF528" s="23">
        <v>100</v>
      </c>
      <c r="AG528" s="6"/>
      <c r="AH528" s="5" t="s">
        <v>3</v>
      </c>
      <c r="AI528" s="5" t="s">
        <v>92</v>
      </c>
      <c r="AJ528" s="5" t="s">
        <v>928</v>
      </c>
      <c r="AK528" s="16" t="s">
        <v>3</v>
      </c>
      <c r="AL528" s="65" t="s">
        <v>3842</v>
      </c>
      <c r="AM528" s="31" t="s">
        <v>1176</v>
      </c>
    </row>
    <row r="529" spans="2:39" x14ac:dyDescent="0.25">
      <c r="B529" s="18" t="s">
        <v>2859</v>
      </c>
      <c r="C529" s="44" t="s">
        <v>3170</v>
      </c>
      <c r="D529" s="20" t="s">
        <v>1221</v>
      </c>
      <c r="E529" s="67" t="s">
        <v>3</v>
      </c>
      <c r="F529" s="51" t="s">
        <v>3</v>
      </c>
      <c r="G529" s="37" t="s">
        <v>2715</v>
      </c>
      <c r="H529" s="68" t="s">
        <v>3842</v>
      </c>
      <c r="I529" s="62" t="s">
        <v>10</v>
      </c>
      <c r="J529" s="61" t="s">
        <v>250</v>
      </c>
      <c r="K529" s="4">
        <v>2997930</v>
      </c>
      <c r="L529" s="39">
        <v>101.54300000000001</v>
      </c>
      <c r="M529" s="4">
        <v>3046290</v>
      </c>
      <c r="N529" s="4">
        <v>3000000</v>
      </c>
      <c r="O529" s="4">
        <v>2999505</v>
      </c>
      <c r="P529" s="4">
        <v>0</v>
      </c>
      <c r="Q529" s="4">
        <v>833</v>
      </c>
      <c r="R529" s="4">
        <v>0</v>
      </c>
      <c r="S529" s="4">
        <v>0</v>
      </c>
      <c r="T529" s="23">
        <v>3.65</v>
      </c>
      <c r="U529" s="23">
        <v>3.6789999999999998</v>
      </c>
      <c r="V529" s="5" t="s">
        <v>1982</v>
      </c>
      <c r="W529" s="4">
        <v>46233</v>
      </c>
      <c r="X529" s="4">
        <v>109500</v>
      </c>
      <c r="Y529" s="11">
        <v>43487</v>
      </c>
      <c r="Z529" s="11">
        <v>44406</v>
      </c>
      <c r="AA529" s="2"/>
      <c r="AB529" s="63" t="s">
        <v>3840</v>
      </c>
      <c r="AC529" s="5" t="s">
        <v>9</v>
      </c>
      <c r="AD529" s="2"/>
      <c r="AE529" s="10">
        <v>44376</v>
      </c>
      <c r="AF529" s="23">
        <v>100</v>
      </c>
      <c r="AG529" s="6"/>
      <c r="AH529" s="5" t="s">
        <v>3</v>
      </c>
      <c r="AI529" s="5" t="s">
        <v>3961</v>
      </c>
      <c r="AJ529" s="5" t="s">
        <v>928</v>
      </c>
      <c r="AK529" s="16" t="s">
        <v>3</v>
      </c>
      <c r="AL529" s="65" t="s">
        <v>3842</v>
      </c>
      <c r="AM529" s="31" t="s">
        <v>1176</v>
      </c>
    </row>
    <row r="530" spans="2:39" x14ac:dyDescent="0.25">
      <c r="B530" s="18" t="s">
        <v>3963</v>
      </c>
      <c r="C530" s="44" t="s">
        <v>2074</v>
      </c>
      <c r="D530" s="20" t="s">
        <v>3630</v>
      </c>
      <c r="E530" s="67" t="s">
        <v>3</v>
      </c>
      <c r="F530" s="51" t="s">
        <v>3</v>
      </c>
      <c r="G530" s="37" t="s">
        <v>2715</v>
      </c>
      <c r="H530" s="68" t="s">
        <v>2715</v>
      </c>
      <c r="I530" s="62" t="s">
        <v>3538</v>
      </c>
      <c r="J530" s="61" t="s">
        <v>250</v>
      </c>
      <c r="K530" s="4">
        <v>9888120</v>
      </c>
      <c r="L530" s="39">
        <v>110.004</v>
      </c>
      <c r="M530" s="4">
        <v>9900360</v>
      </c>
      <c r="N530" s="4">
        <v>9000000</v>
      </c>
      <c r="O530" s="4">
        <v>9813886</v>
      </c>
      <c r="P530" s="4">
        <v>0</v>
      </c>
      <c r="Q530" s="4">
        <v>-74234</v>
      </c>
      <c r="R530" s="4">
        <v>0</v>
      </c>
      <c r="S530" s="4">
        <v>0</v>
      </c>
      <c r="T530" s="23">
        <v>2.625</v>
      </c>
      <c r="U530" s="23">
        <v>1.077</v>
      </c>
      <c r="V530" s="5" t="s">
        <v>12</v>
      </c>
      <c r="W530" s="4">
        <v>66938</v>
      </c>
      <c r="X530" s="4">
        <v>118125</v>
      </c>
      <c r="Y530" s="11">
        <v>43985</v>
      </c>
      <c r="Z530" s="11">
        <v>46465</v>
      </c>
      <c r="AA530" s="2"/>
      <c r="AB530" s="63" t="s">
        <v>3840</v>
      </c>
      <c r="AC530" s="5" t="s">
        <v>4198</v>
      </c>
      <c r="AD530" s="2"/>
      <c r="AE530" s="10">
        <v>46406</v>
      </c>
      <c r="AF530" s="23">
        <v>100</v>
      </c>
      <c r="AG530" s="10">
        <v>46406</v>
      </c>
      <c r="AH530" s="5" t="s">
        <v>93</v>
      </c>
      <c r="AI530" s="5" t="s">
        <v>3630</v>
      </c>
      <c r="AJ530" s="5" t="s">
        <v>3</v>
      </c>
      <c r="AK530" s="16" t="s">
        <v>3</v>
      </c>
      <c r="AL530" s="65" t="s">
        <v>3842</v>
      </c>
      <c r="AM530" s="31" t="s">
        <v>1161</v>
      </c>
    </row>
    <row r="531" spans="2:39" x14ac:dyDescent="0.25">
      <c r="B531" s="18" t="s">
        <v>666</v>
      </c>
      <c r="C531" s="44" t="s">
        <v>1776</v>
      </c>
      <c r="D531" s="20" t="s">
        <v>2075</v>
      </c>
      <c r="E531" s="67" t="s">
        <v>3</v>
      </c>
      <c r="F531" s="51" t="s">
        <v>3</v>
      </c>
      <c r="G531" s="37" t="s">
        <v>2715</v>
      </c>
      <c r="H531" s="68" t="s">
        <v>2715</v>
      </c>
      <c r="I531" s="62" t="s">
        <v>252</v>
      </c>
      <c r="J531" s="61" t="s">
        <v>250</v>
      </c>
      <c r="K531" s="4">
        <v>1422780</v>
      </c>
      <c r="L531" s="39">
        <v>110.527</v>
      </c>
      <c r="M531" s="4">
        <v>1657905</v>
      </c>
      <c r="N531" s="4">
        <v>1500000</v>
      </c>
      <c r="O531" s="4">
        <v>1444904</v>
      </c>
      <c r="P531" s="4">
        <v>0</v>
      </c>
      <c r="Q531" s="4">
        <v>9078</v>
      </c>
      <c r="R531" s="4">
        <v>0</v>
      </c>
      <c r="S531" s="4">
        <v>0</v>
      </c>
      <c r="T531" s="23">
        <v>2.75</v>
      </c>
      <c r="U531" s="23">
        <v>3.5</v>
      </c>
      <c r="V531" s="5" t="s">
        <v>3844</v>
      </c>
      <c r="W531" s="4">
        <v>3208</v>
      </c>
      <c r="X531" s="4">
        <v>41250</v>
      </c>
      <c r="Y531" s="11">
        <v>43278</v>
      </c>
      <c r="Z531" s="11">
        <v>46176</v>
      </c>
      <c r="AA531" s="2"/>
      <c r="AB531" s="63" t="s">
        <v>3840</v>
      </c>
      <c r="AC531" s="5" t="s">
        <v>4198</v>
      </c>
      <c r="AD531" s="2"/>
      <c r="AE531" s="9"/>
      <c r="AF531" s="23"/>
      <c r="AG531" s="6"/>
      <c r="AH531" s="5" t="s">
        <v>362</v>
      </c>
      <c r="AI531" s="5" t="s">
        <v>2075</v>
      </c>
      <c r="AJ531" s="5" t="s">
        <v>3</v>
      </c>
      <c r="AK531" s="16" t="s">
        <v>3</v>
      </c>
      <c r="AL531" s="65" t="s">
        <v>3842</v>
      </c>
      <c r="AM531" s="31" t="s">
        <v>898</v>
      </c>
    </row>
    <row r="532" spans="2:39" x14ac:dyDescent="0.25">
      <c r="B532" s="18" t="s">
        <v>1777</v>
      </c>
      <c r="C532" s="44" t="s">
        <v>363</v>
      </c>
      <c r="D532" s="20" t="s">
        <v>2075</v>
      </c>
      <c r="E532" s="67" t="s">
        <v>3</v>
      </c>
      <c r="F532" s="51" t="s">
        <v>3</v>
      </c>
      <c r="G532" s="37" t="s">
        <v>2715</v>
      </c>
      <c r="H532" s="68" t="s">
        <v>2715</v>
      </c>
      <c r="I532" s="62" t="s">
        <v>252</v>
      </c>
      <c r="J532" s="61" t="s">
        <v>250</v>
      </c>
      <c r="K532" s="4">
        <v>7041730</v>
      </c>
      <c r="L532" s="39">
        <v>107.70699999999999</v>
      </c>
      <c r="M532" s="4">
        <v>7539490</v>
      </c>
      <c r="N532" s="4">
        <v>7000000</v>
      </c>
      <c r="O532" s="4">
        <v>7026130</v>
      </c>
      <c r="P532" s="4">
        <v>0</v>
      </c>
      <c r="Q532" s="4">
        <v>-9595</v>
      </c>
      <c r="R532" s="4">
        <v>0</v>
      </c>
      <c r="S532" s="4">
        <v>0</v>
      </c>
      <c r="T532" s="23">
        <v>3.2</v>
      </c>
      <c r="U532" s="23">
        <v>3.0489999999999999</v>
      </c>
      <c r="V532" s="5" t="s">
        <v>12</v>
      </c>
      <c r="W532" s="4">
        <v>65956</v>
      </c>
      <c r="X532" s="4">
        <v>224000</v>
      </c>
      <c r="Y532" s="11">
        <v>43553</v>
      </c>
      <c r="Z532" s="11">
        <v>45184</v>
      </c>
      <c r="AA532" s="2"/>
      <c r="AB532" s="63" t="s">
        <v>3840</v>
      </c>
      <c r="AC532" s="5" t="s">
        <v>4198</v>
      </c>
      <c r="AD532" s="2"/>
      <c r="AE532" s="10">
        <v>45153</v>
      </c>
      <c r="AF532" s="23">
        <v>100</v>
      </c>
      <c r="AG532" s="10">
        <v>45153</v>
      </c>
      <c r="AH532" s="5" t="s">
        <v>362</v>
      </c>
      <c r="AI532" s="5" t="s">
        <v>2075</v>
      </c>
      <c r="AJ532" s="5" t="s">
        <v>3</v>
      </c>
      <c r="AK532" s="16" t="s">
        <v>3</v>
      </c>
      <c r="AL532" s="65" t="s">
        <v>3842</v>
      </c>
      <c r="AM532" s="31" t="s">
        <v>898</v>
      </c>
    </row>
    <row r="533" spans="2:39" x14ac:dyDescent="0.25">
      <c r="B533" s="18" t="s">
        <v>3171</v>
      </c>
      <c r="C533" s="44" t="s">
        <v>2076</v>
      </c>
      <c r="D533" s="20" t="s">
        <v>1222</v>
      </c>
      <c r="E533" s="67" t="s">
        <v>3</v>
      </c>
      <c r="F533" s="51" t="s">
        <v>3</v>
      </c>
      <c r="G533" s="37" t="s">
        <v>2715</v>
      </c>
      <c r="H533" s="68" t="s">
        <v>2715</v>
      </c>
      <c r="I533" s="62" t="s">
        <v>1358</v>
      </c>
      <c r="J533" s="61" t="s">
        <v>250</v>
      </c>
      <c r="K533" s="4">
        <v>2499750</v>
      </c>
      <c r="L533" s="39">
        <v>101.785</v>
      </c>
      <c r="M533" s="4">
        <v>2544625</v>
      </c>
      <c r="N533" s="4">
        <v>2500000</v>
      </c>
      <c r="O533" s="4">
        <v>2499776</v>
      </c>
      <c r="P533" s="4">
        <v>0</v>
      </c>
      <c r="Q533" s="4">
        <v>26</v>
      </c>
      <c r="R533" s="4">
        <v>0</v>
      </c>
      <c r="S533" s="4">
        <v>0</v>
      </c>
      <c r="T533" s="23">
        <v>1.3</v>
      </c>
      <c r="U533" s="23">
        <v>1.302</v>
      </c>
      <c r="V533" s="5" t="s">
        <v>3844</v>
      </c>
      <c r="W533" s="4">
        <v>1444</v>
      </c>
      <c r="X533" s="4">
        <v>16069</v>
      </c>
      <c r="Y533" s="11">
        <v>43992</v>
      </c>
      <c r="Z533" s="11">
        <v>45823</v>
      </c>
      <c r="AA533" s="2"/>
      <c r="AB533" s="63" t="s">
        <v>3840</v>
      </c>
      <c r="AC533" s="5" t="s">
        <v>4198</v>
      </c>
      <c r="AD533" s="2"/>
      <c r="AE533" s="11">
        <v>45792</v>
      </c>
      <c r="AF533" s="23">
        <v>100</v>
      </c>
      <c r="AG533" s="6"/>
      <c r="AH533" s="5" t="s">
        <v>3</v>
      </c>
      <c r="AI533" s="5" t="s">
        <v>1222</v>
      </c>
      <c r="AJ533" s="5" t="s">
        <v>3</v>
      </c>
      <c r="AK533" s="16" t="s">
        <v>3</v>
      </c>
      <c r="AL533" s="65" t="s">
        <v>3842</v>
      </c>
      <c r="AM533" s="31" t="s">
        <v>559</v>
      </c>
    </row>
    <row r="534" spans="2:39" x14ac:dyDescent="0.25">
      <c r="B534" s="18" t="s">
        <v>667</v>
      </c>
      <c r="C534" s="44" t="s">
        <v>2860</v>
      </c>
      <c r="D534" s="20" t="s">
        <v>668</v>
      </c>
      <c r="E534" s="67" t="s">
        <v>3</v>
      </c>
      <c r="F534" s="51" t="s">
        <v>3</v>
      </c>
      <c r="G534" s="37" t="s">
        <v>2715</v>
      </c>
      <c r="H534" s="68" t="s">
        <v>3842</v>
      </c>
      <c r="I534" s="62" t="s">
        <v>10</v>
      </c>
      <c r="J534" s="61" t="s">
        <v>250</v>
      </c>
      <c r="K534" s="4">
        <v>3995200</v>
      </c>
      <c r="L534" s="39">
        <v>103.726</v>
      </c>
      <c r="M534" s="4">
        <v>4149040</v>
      </c>
      <c r="N534" s="4">
        <v>4000000</v>
      </c>
      <c r="O534" s="4">
        <v>3997878</v>
      </c>
      <c r="P534" s="4">
        <v>0</v>
      </c>
      <c r="Q534" s="4">
        <v>1312</v>
      </c>
      <c r="R534" s="4">
        <v>0</v>
      </c>
      <c r="S534" s="4">
        <v>0</v>
      </c>
      <c r="T534" s="23">
        <v>3.95</v>
      </c>
      <c r="U534" s="23">
        <v>3.9860000000000002</v>
      </c>
      <c r="V534" s="5" t="s">
        <v>1982</v>
      </c>
      <c r="W534" s="4">
        <v>72856</v>
      </c>
      <c r="X534" s="4">
        <v>158000</v>
      </c>
      <c r="Y534" s="11">
        <v>43454</v>
      </c>
      <c r="Z534" s="11">
        <v>44757</v>
      </c>
      <c r="AA534" s="2"/>
      <c r="AB534" s="63" t="s">
        <v>3840</v>
      </c>
      <c r="AC534" s="5" t="s">
        <v>9</v>
      </c>
      <c r="AD534" s="2"/>
      <c r="AE534" s="11">
        <v>44666</v>
      </c>
      <c r="AF534" s="23">
        <v>100</v>
      </c>
      <c r="AG534" s="9"/>
      <c r="AH534" s="5" t="s">
        <v>2077</v>
      </c>
      <c r="AI534" s="5" t="s">
        <v>669</v>
      </c>
      <c r="AJ534" s="5" t="s">
        <v>2861</v>
      </c>
      <c r="AK534" s="16" t="s">
        <v>3</v>
      </c>
      <c r="AL534" s="65" t="s">
        <v>3842</v>
      </c>
      <c r="AM534" s="31" t="s">
        <v>1176</v>
      </c>
    </row>
    <row r="535" spans="2:39" x14ac:dyDescent="0.25">
      <c r="B535" s="18" t="s">
        <v>1778</v>
      </c>
      <c r="C535" s="44" t="s">
        <v>1431</v>
      </c>
      <c r="D535" s="20" t="s">
        <v>3964</v>
      </c>
      <c r="E535" s="67" t="s">
        <v>3</v>
      </c>
      <c r="F535" s="51" t="s">
        <v>3</v>
      </c>
      <c r="G535" s="37" t="s">
        <v>3</v>
      </c>
      <c r="H535" s="68" t="s">
        <v>2715</v>
      </c>
      <c r="I535" s="62" t="s">
        <v>2218</v>
      </c>
      <c r="J535" s="61" t="s">
        <v>3</v>
      </c>
      <c r="K535" s="4">
        <v>3192788</v>
      </c>
      <c r="L535" s="39">
        <v>106.913</v>
      </c>
      <c r="M535" s="4">
        <v>3326362</v>
      </c>
      <c r="N535" s="4">
        <v>3111280</v>
      </c>
      <c r="O535" s="4">
        <v>3161622</v>
      </c>
      <c r="P535" s="4">
        <v>0</v>
      </c>
      <c r="Q535" s="4">
        <v>-6844</v>
      </c>
      <c r="R535" s="4">
        <v>0</v>
      </c>
      <c r="S535" s="4">
        <v>0</v>
      </c>
      <c r="T535" s="23">
        <v>3</v>
      </c>
      <c r="U535" s="23">
        <v>2.5</v>
      </c>
      <c r="V535" s="5" t="s">
        <v>12</v>
      </c>
      <c r="W535" s="4">
        <v>28002</v>
      </c>
      <c r="X535" s="4">
        <v>93338</v>
      </c>
      <c r="Y535" s="11">
        <v>42425</v>
      </c>
      <c r="Z535" s="11">
        <v>46643</v>
      </c>
      <c r="AA535" s="2"/>
      <c r="AB535" s="63" t="s">
        <v>1684</v>
      </c>
      <c r="AC535" s="5" t="s">
        <v>3</v>
      </c>
      <c r="AD535" s="2"/>
      <c r="AE535" s="9"/>
      <c r="AF535" s="23"/>
      <c r="AG535" s="6"/>
      <c r="AH535" s="5" t="s">
        <v>3</v>
      </c>
      <c r="AI535" s="5" t="s">
        <v>2078</v>
      </c>
      <c r="AJ535" s="5" t="s">
        <v>3965</v>
      </c>
      <c r="AK535" s="16" t="s">
        <v>3</v>
      </c>
      <c r="AL535" s="65" t="s">
        <v>2715</v>
      </c>
      <c r="AM535" s="31" t="s">
        <v>1769</v>
      </c>
    </row>
    <row r="536" spans="2:39" x14ac:dyDescent="0.25">
      <c r="B536" s="18" t="s">
        <v>2862</v>
      </c>
      <c r="C536" s="44" t="s">
        <v>4299</v>
      </c>
      <c r="D536" s="20" t="s">
        <v>1223</v>
      </c>
      <c r="E536" s="67" t="s">
        <v>3</v>
      </c>
      <c r="F536" s="51" t="s">
        <v>3</v>
      </c>
      <c r="G536" s="37" t="s">
        <v>3</v>
      </c>
      <c r="H536" s="68" t="s">
        <v>2715</v>
      </c>
      <c r="I536" s="62" t="s">
        <v>252</v>
      </c>
      <c r="J536" s="61" t="s">
        <v>250</v>
      </c>
      <c r="K536" s="4">
        <v>5000000</v>
      </c>
      <c r="L536" s="39">
        <v>104.08</v>
      </c>
      <c r="M536" s="4">
        <v>5204000</v>
      </c>
      <c r="N536" s="4">
        <v>5000000</v>
      </c>
      <c r="O536" s="4">
        <v>5000000</v>
      </c>
      <c r="P536" s="4">
        <v>0</v>
      </c>
      <c r="Q536" s="4">
        <v>0</v>
      </c>
      <c r="R536" s="4">
        <v>0</v>
      </c>
      <c r="S536" s="4">
        <v>0</v>
      </c>
      <c r="T536" s="23">
        <v>2.9</v>
      </c>
      <c r="U536" s="23">
        <v>2.9</v>
      </c>
      <c r="V536" s="5" t="s">
        <v>3844</v>
      </c>
      <c r="W536" s="4">
        <v>5236</v>
      </c>
      <c r="X536" s="4">
        <v>145000</v>
      </c>
      <c r="Y536" s="11">
        <v>43087</v>
      </c>
      <c r="Z536" s="11">
        <v>44913</v>
      </c>
      <c r="AA536" s="2"/>
      <c r="AB536" s="63" t="s">
        <v>2748</v>
      </c>
      <c r="AC536" s="5" t="s">
        <v>3</v>
      </c>
      <c r="AD536" s="2"/>
      <c r="AE536" s="9"/>
      <c r="AF536" s="23"/>
      <c r="AG536" s="9"/>
      <c r="AH536" s="5" t="s">
        <v>3</v>
      </c>
      <c r="AI536" s="5" t="s">
        <v>1223</v>
      </c>
      <c r="AJ536" s="5" t="s">
        <v>3</v>
      </c>
      <c r="AK536" s="16" t="s">
        <v>3</v>
      </c>
      <c r="AL536" s="65" t="s">
        <v>2715</v>
      </c>
      <c r="AM536" s="31" t="s">
        <v>898</v>
      </c>
    </row>
    <row r="537" spans="2:39" x14ac:dyDescent="0.25">
      <c r="B537" s="18" t="s">
        <v>3966</v>
      </c>
      <c r="C537" s="44" t="s">
        <v>2295</v>
      </c>
      <c r="D537" s="20" t="s">
        <v>4300</v>
      </c>
      <c r="E537" s="67" t="s">
        <v>3</v>
      </c>
      <c r="F537" s="51" t="s">
        <v>3</v>
      </c>
      <c r="G537" s="37" t="s">
        <v>3</v>
      </c>
      <c r="H537" s="68" t="s">
        <v>2715</v>
      </c>
      <c r="I537" s="62" t="s">
        <v>252</v>
      </c>
      <c r="J537" s="61" t="s">
        <v>3</v>
      </c>
      <c r="K537" s="4">
        <v>5000000</v>
      </c>
      <c r="L537" s="39">
        <v>100.024</v>
      </c>
      <c r="M537" s="4">
        <v>5001200</v>
      </c>
      <c r="N537" s="4">
        <v>5000000</v>
      </c>
      <c r="O537" s="4">
        <v>5000000</v>
      </c>
      <c r="P537" s="4">
        <v>0</v>
      </c>
      <c r="Q537" s="4">
        <v>0</v>
      </c>
      <c r="R537" s="4">
        <v>0</v>
      </c>
      <c r="S537" s="4">
        <v>0</v>
      </c>
      <c r="T537" s="23">
        <v>2.5099999999999998</v>
      </c>
      <c r="U537" s="23">
        <v>2.5099999999999998</v>
      </c>
      <c r="V537" s="5" t="s">
        <v>1982</v>
      </c>
      <c r="W537" s="4">
        <v>61007</v>
      </c>
      <c r="X537" s="4">
        <v>125500</v>
      </c>
      <c r="Y537" s="11">
        <v>42375</v>
      </c>
      <c r="Z537" s="11">
        <v>44202</v>
      </c>
      <c r="AA537" s="2"/>
      <c r="AB537" s="63" t="s">
        <v>1684</v>
      </c>
      <c r="AC537" s="5" t="s">
        <v>3</v>
      </c>
      <c r="AD537" s="2"/>
      <c r="AE537" s="9"/>
      <c r="AF537" s="23"/>
      <c r="AG537" s="6"/>
      <c r="AH537" s="5" t="s">
        <v>3388</v>
      </c>
      <c r="AI537" s="5" t="s">
        <v>4300</v>
      </c>
      <c r="AJ537" s="5" t="s">
        <v>3</v>
      </c>
      <c r="AK537" s="16" t="s">
        <v>3</v>
      </c>
      <c r="AL537" s="65" t="s">
        <v>2715</v>
      </c>
      <c r="AM537" s="31" t="s">
        <v>3967</v>
      </c>
    </row>
    <row r="538" spans="2:39" x14ac:dyDescent="0.25">
      <c r="B538" s="18" t="s">
        <v>670</v>
      </c>
      <c r="C538" s="44" t="s">
        <v>3172</v>
      </c>
      <c r="D538" s="20" t="s">
        <v>2528</v>
      </c>
      <c r="E538" s="67" t="s">
        <v>3</v>
      </c>
      <c r="F538" s="51" t="s">
        <v>3</v>
      </c>
      <c r="G538" s="37" t="s">
        <v>2715</v>
      </c>
      <c r="H538" s="68" t="s">
        <v>2715</v>
      </c>
      <c r="I538" s="62" t="s">
        <v>1358</v>
      </c>
      <c r="J538" s="61" t="s">
        <v>250</v>
      </c>
      <c r="K538" s="4">
        <v>4906300</v>
      </c>
      <c r="L538" s="39">
        <v>113.715</v>
      </c>
      <c r="M538" s="4">
        <v>5685750</v>
      </c>
      <c r="N538" s="4">
        <v>5000000</v>
      </c>
      <c r="O538" s="4">
        <v>4931947</v>
      </c>
      <c r="P538" s="4">
        <v>0</v>
      </c>
      <c r="Q538" s="4">
        <v>11088</v>
      </c>
      <c r="R538" s="4">
        <v>0</v>
      </c>
      <c r="S538" s="4">
        <v>0</v>
      </c>
      <c r="T538" s="23">
        <v>3.6</v>
      </c>
      <c r="U538" s="23">
        <v>3.8809999999999998</v>
      </c>
      <c r="V538" s="5" t="s">
        <v>3844</v>
      </c>
      <c r="W538" s="4">
        <v>15000</v>
      </c>
      <c r="X538" s="4">
        <v>180000</v>
      </c>
      <c r="Y538" s="11">
        <v>43334</v>
      </c>
      <c r="Z538" s="11">
        <v>46174</v>
      </c>
      <c r="AA538" s="2"/>
      <c r="AB538" s="63" t="s">
        <v>3840</v>
      </c>
      <c r="AC538" s="5" t="s">
        <v>4198</v>
      </c>
      <c r="AD538" s="2"/>
      <c r="AE538" s="11">
        <v>46082</v>
      </c>
      <c r="AF538" s="23">
        <v>100</v>
      </c>
      <c r="AG538" s="6"/>
      <c r="AH538" s="5" t="s">
        <v>1779</v>
      </c>
      <c r="AI538" s="5" t="s">
        <v>2528</v>
      </c>
      <c r="AJ538" s="5" t="s">
        <v>3</v>
      </c>
      <c r="AK538" s="16" t="s">
        <v>3</v>
      </c>
      <c r="AL538" s="65" t="s">
        <v>3842</v>
      </c>
      <c r="AM538" s="31" t="s">
        <v>559</v>
      </c>
    </row>
    <row r="539" spans="2:39" x14ac:dyDescent="0.25">
      <c r="B539" s="18" t="s">
        <v>1780</v>
      </c>
      <c r="C539" s="44" t="s">
        <v>2296</v>
      </c>
      <c r="D539" s="20" t="s">
        <v>2528</v>
      </c>
      <c r="E539" s="67" t="s">
        <v>3</v>
      </c>
      <c r="F539" s="51" t="s">
        <v>3</v>
      </c>
      <c r="G539" s="37" t="s">
        <v>2715</v>
      </c>
      <c r="H539" s="68" t="s">
        <v>2715</v>
      </c>
      <c r="I539" s="62" t="s">
        <v>1358</v>
      </c>
      <c r="J539" s="61" t="s">
        <v>250</v>
      </c>
      <c r="K539" s="4">
        <v>4981800</v>
      </c>
      <c r="L539" s="39">
        <v>104.95099999999999</v>
      </c>
      <c r="M539" s="4">
        <v>5247550</v>
      </c>
      <c r="N539" s="4">
        <v>5000000</v>
      </c>
      <c r="O539" s="4">
        <v>4990227</v>
      </c>
      <c r="P539" s="4">
        <v>0</v>
      </c>
      <c r="Q539" s="4">
        <v>4233</v>
      </c>
      <c r="R539" s="4">
        <v>0</v>
      </c>
      <c r="S539" s="4">
        <v>0</v>
      </c>
      <c r="T539" s="23">
        <v>2.75</v>
      </c>
      <c r="U539" s="23">
        <v>2.8420000000000001</v>
      </c>
      <c r="V539" s="5" t="s">
        <v>12</v>
      </c>
      <c r="W539" s="4">
        <v>40486</v>
      </c>
      <c r="X539" s="4">
        <v>137500</v>
      </c>
      <c r="Y539" s="11">
        <v>43551</v>
      </c>
      <c r="Z539" s="11">
        <v>45000</v>
      </c>
      <c r="AA539" s="2"/>
      <c r="AB539" s="63" t="s">
        <v>3840</v>
      </c>
      <c r="AC539" s="5" t="s">
        <v>4198</v>
      </c>
      <c r="AD539" s="2"/>
      <c r="AE539" s="11">
        <v>44972</v>
      </c>
      <c r="AF539" s="23">
        <v>100</v>
      </c>
      <c r="AG539" s="6"/>
      <c r="AH539" s="5" t="s">
        <v>1779</v>
      </c>
      <c r="AI539" s="5" t="s">
        <v>2528</v>
      </c>
      <c r="AJ539" s="5" t="s">
        <v>3</v>
      </c>
      <c r="AK539" s="16" t="s">
        <v>3</v>
      </c>
      <c r="AL539" s="65" t="s">
        <v>3842</v>
      </c>
      <c r="AM539" s="31" t="s">
        <v>559</v>
      </c>
    </row>
    <row r="540" spans="2:39" x14ac:dyDescent="0.25">
      <c r="B540" s="18" t="s">
        <v>2863</v>
      </c>
      <c r="C540" s="44" t="s">
        <v>364</v>
      </c>
      <c r="D540" s="20" t="s">
        <v>2528</v>
      </c>
      <c r="E540" s="67" t="s">
        <v>3</v>
      </c>
      <c r="F540" s="51" t="s">
        <v>3</v>
      </c>
      <c r="G540" s="37" t="s">
        <v>2715</v>
      </c>
      <c r="H540" s="68" t="s">
        <v>2715</v>
      </c>
      <c r="I540" s="62" t="s">
        <v>1358</v>
      </c>
      <c r="J540" s="61" t="s">
        <v>250</v>
      </c>
      <c r="K540" s="4">
        <v>5330600</v>
      </c>
      <c r="L540" s="39">
        <v>114.687</v>
      </c>
      <c r="M540" s="4">
        <v>5734350</v>
      </c>
      <c r="N540" s="4">
        <v>5000000</v>
      </c>
      <c r="O540" s="4">
        <v>5307754</v>
      </c>
      <c r="P540" s="4">
        <v>0</v>
      </c>
      <c r="Q540" s="4">
        <v>-22846</v>
      </c>
      <c r="R540" s="4">
        <v>0</v>
      </c>
      <c r="S540" s="4">
        <v>0</v>
      </c>
      <c r="T540" s="23">
        <v>3.55</v>
      </c>
      <c r="U540" s="23">
        <v>2.5779999999999998</v>
      </c>
      <c r="V540" s="5" t="s">
        <v>12</v>
      </c>
      <c r="W540" s="4">
        <v>52264</v>
      </c>
      <c r="X540" s="4">
        <v>88750</v>
      </c>
      <c r="Y540" s="11">
        <v>43985</v>
      </c>
      <c r="Z540" s="11">
        <v>46827</v>
      </c>
      <c r="AA540" s="2"/>
      <c r="AB540" s="63" t="s">
        <v>3840</v>
      </c>
      <c r="AC540" s="5" t="s">
        <v>4198</v>
      </c>
      <c r="AD540" s="2"/>
      <c r="AE540" s="11">
        <v>46736</v>
      </c>
      <c r="AF540" s="23">
        <v>100</v>
      </c>
      <c r="AG540" s="10">
        <v>46736</v>
      </c>
      <c r="AH540" s="5" t="s">
        <v>1779</v>
      </c>
      <c r="AI540" s="5" t="s">
        <v>2528</v>
      </c>
      <c r="AJ540" s="5" t="s">
        <v>3</v>
      </c>
      <c r="AK540" s="16" t="s">
        <v>3</v>
      </c>
      <c r="AL540" s="65" t="s">
        <v>3842</v>
      </c>
      <c r="AM540" s="31" t="s">
        <v>559</v>
      </c>
    </row>
    <row r="541" spans="2:39" x14ac:dyDescent="0.25">
      <c r="B541" s="18" t="s">
        <v>4301</v>
      </c>
      <c r="C541" s="44" t="s">
        <v>1009</v>
      </c>
      <c r="D541" s="20" t="s">
        <v>2297</v>
      </c>
      <c r="E541" s="67" t="s">
        <v>3</v>
      </c>
      <c r="F541" s="51" t="s">
        <v>3</v>
      </c>
      <c r="G541" s="37" t="s">
        <v>3</v>
      </c>
      <c r="H541" s="68" t="s">
        <v>2715</v>
      </c>
      <c r="I541" s="62" t="s">
        <v>252</v>
      </c>
      <c r="J541" s="61" t="s">
        <v>952</v>
      </c>
      <c r="K541" s="4">
        <v>4000000</v>
      </c>
      <c r="L541" s="39">
        <v>109.60899999999999</v>
      </c>
      <c r="M541" s="4">
        <v>4384360</v>
      </c>
      <c r="N541" s="4">
        <v>4000000</v>
      </c>
      <c r="O541" s="4">
        <v>4000000</v>
      </c>
      <c r="P541" s="4">
        <v>0</v>
      </c>
      <c r="Q541" s="4">
        <v>0</v>
      </c>
      <c r="R541" s="4">
        <v>0</v>
      </c>
      <c r="S541" s="4">
        <v>0</v>
      </c>
      <c r="T541" s="23">
        <v>3.2</v>
      </c>
      <c r="U541" s="23">
        <v>3.2</v>
      </c>
      <c r="V541" s="5" t="s">
        <v>12</v>
      </c>
      <c r="W541" s="4">
        <v>39822</v>
      </c>
      <c r="X541" s="4">
        <v>0</v>
      </c>
      <c r="Y541" s="11">
        <v>44083</v>
      </c>
      <c r="Z541" s="11">
        <v>46645</v>
      </c>
      <c r="AA541" s="2"/>
      <c r="AB541" s="63" t="s">
        <v>1684</v>
      </c>
      <c r="AC541" s="5" t="s">
        <v>3</v>
      </c>
      <c r="AD541" s="2"/>
      <c r="AE541" s="9"/>
      <c r="AF541" s="23"/>
      <c r="AG541" s="6"/>
      <c r="AH541" s="5" t="s">
        <v>3</v>
      </c>
      <c r="AI541" s="5" t="s">
        <v>3631</v>
      </c>
      <c r="AJ541" s="5" t="s">
        <v>2079</v>
      </c>
      <c r="AK541" s="16" t="s">
        <v>3</v>
      </c>
      <c r="AL541" s="65" t="s">
        <v>3842</v>
      </c>
      <c r="AM541" s="31" t="s">
        <v>3632</v>
      </c>
    </row>
    <row r="542" spans="2:39" x14ac:dyDescent="0.25">
      <c r="B542" s="18" t="s">
        <v>1010</v>
      </c>
      <c r="C542" s="44" t="s">
        <v>3389</v>
      </c>
      <c r="D542" s="20" t="s">
        <v>2297</v>
      </c>
      <c r="E542" s="67" t="s">
        <v>3</v>
      </c>
      <c r="F542" s="51" t="s">
        <v>3</v>
      </c>
      <c r="G542" s="37" t="s">
        <v>3</v>
      </c>
      <c r="H542" s="68" t="s">
        <v>2715</v>
      </c>
      <c r="I542" s="62" t="s">
        <v>252</v>
      </c>
      <c r="J542" s="61" t="s">
        <v>952</v>
      </c>
      <c r="K542" s="4">
        <v>4000000</v>
      </c>
      <c r="L542" s="39">
        <v>110</v>
      </c>
      <c r="M542" s="4">
        <v>4400000</v>
      </c>
      <c r="N542" s="4">
        <v>4000000</v>
      </c>
      <c r="O542" s="4">
        <v>4000000</v>
      </c>
      <c r="P542" s="4">
        <v>0</v>
      </c>
      <c r="Q542" s="4">
        <v>0</v>
      </c>
      <c r="R542" s="4">
        <v>0</v>
      </c>
      <c r="S542" s="4">
        <v>0</v>
      </c>
      <c r="T542" s="23">
        <v>3.43</v>
      </c>
      <c r="U542" s="23">
        <v>3.43</v>
      </c>
      <c r="V542" s="5" t="s">
        <v>12</v>
      </c>
      <c r="W542" s="4">
        <v>42684</v>
      </c>
      <c r="X542" s="4">
        <v>0</v>
      </c>
      <c r="Y542" s="11">
        <v>44083</v>
      </c>
      <c r="Z542" s="11">
        <v>47739</v>
      </c>
      <c r="AA542" s="2"/>
      <c r="AB542" s="63" t="s">
        <v>1684</v>
      </c>
      <c r="AC542" s="5" t="s">
        <v>3</v>
      </c>
      <c r="AD542" s="2"/>
      <c r="AE542" s="9"/>
      <c r="AF542" s="23"/>
      <c r="AG542" s="6"/>
      <c r="AH542" s="5" t="s">
        <v>3</v>
      </c>
      <c r="AI542" s="5" t="s">
        <v>3631</v>
      </c>
      <c r="AJ542" s="5" t="s">
        <v>2079</v>
      </c>
      <c r="AK542" s="16" t="s">
        <v>3</v>
      </c>
      <c r="AL542" s="65" t="s">
        <v>3842</v>
      </c>
      <c r="AM542" s="31" t="s">
        <v>3632</v>
      </c>
    </row>
    <row r="543" spans="2:39" x14ac:dyDescent="0.25">
      <c r="B543" s="18" t="s">
        <v>2080</v>
      </c>
      <c r="C543" s="44" t="s">
        <v>3633</v>
      </c>
      <c r="D543" s="20" t="s">
        <v>3634</v>
      </c>
      <c r="E543" s="67" t="s">
        <v>3</v>
      </c>
      <c r="F543" s="51" t="s">
        <v>3</v>
      </c>
      <c r="G543" s="37" t="s">
        <v>3</v>
      </c>
      <c r="H543" s="68" t="s">
        <v>2715</v>
      </c>
      <c r="I543" s="62" t="s">
        <v>2218</v>
      </c>
      <c r="J543" s="61" t="s">
        <v>250</v>
      </c>
      <c r="K543" s="4">
        <v>4992950</v>
      </c>
      <c r="L543" s="39">
        <v>100.74299999999999</v>
      </c>
      <c r="M543" s="4">
        <v>5037150</v>
      </c>
      <c r="N543" s="4">
        <v>5000000</v>
      </c>
      <c r="O543" s="4">
        <v>4999375</v>
      </c>
      <c r="P543" s="4">
        <v>0</v>
      </c>
      <c r="Q543" s="4">
        <v>1460</v>
      </c>
      <c r="R543" s="4">
        <v>0</v>
      </c>
      <c r="S543" s="4">
        <v>0</v>
      </c>
      <c r="T543" s="23">
        <v>2.2000000000000002</v>
      </c>
      <c r="U543" s="23">
        <v>2.23</v>
      </c>
      <c r="V543" s="5" t="s">
        <v>3844</v>
      </c>
      <c r="W543" s="4">
        <v>8556</v>
      </c>
      <c r="X543" s="4">
        <v>110000</v>
      </c>
      <c r="Y543" s="11">
        <v>42516</v>
      </c>
      <c r="Z543" s="11">
        <v>44350</v>
      </c>
      <c r="AA543" s="2"/>
      <c r="AB543" s="63" t="s">
        <v>3840</v>
      </c>
      <c r="AC543" s="5" t="s">
        <v>9</v>
      </c>
      <c r="AD543" s="2"/>
      <c r="AE543" s="9"/>
      <c r="AF543" s="23"/>
      <c r="AG543" s="6"/>
      <c r="AH543" s="5" t="s">
        <v>3</v>
      </c>
      <c r="AI543" s="5" t="s">
        <v>3634</v>
      </c>
      <c r="AJ543" s="5" t="s">
        <v>3</v>
      </c>
      <c r="AK543" s="16" t="s">
        <v>3</v>
      </c>
      <c r="AL543" s="65" t="s">
        <v>2715</v>
      </c>
      <c r="AM543" s="31" t="s">
        <v>1351</v>
      </c>
    </row>
    <row r="544" spans="2:39" x14ac:dyDescent="0.25">
      <c r="B544" s="18" t="s">
        <v>3968</v>
      </c>
      <c r="C544" s="44" t="s">
        <v>2081</v>
      </c>
      <c r="D544" s="20" t="s">
        <v>94</v>
      </c>
      <c r="E544" s="67" t="s">
        <v>3</v>
      </c>
      <c r="F544" s="51" t="s">
        <v>3</v>
      </c>
      <c r="G544" s="37" t="s">
        <v>3</v>
      </c>
      <c r="H544" s="68" t="s">
        <v>2715</v>
      </c>
      <c r="I544" s="62" t="s">
        <v>3538</v>
      </c>
      <c r="J544" s="61" t="s">
        <v>250</v>
      </c>
      <c r="K544" s="4">
        <v>8988120</v>
      </c>
      <c r="L544" s="39">
        <v>106.197</v>
      </c>
      <c r="M544" s="4">
        <v>9557730</v>
      </c>
      <c r="N544" s="4">
        <v>9000000</v>
      </c>
      <c r="O544" s="4">
        <v>8990646</v>
      </c>
      <c r="P544" s="4">
        <v>0</v>
      </c>
      <c r="Q544" s="4">
        <v>2275</v>
      </c>
      <c r="R544" s="4">
        <v>0</v>
      </c>
      <c r="S544" s="4">
        <v>0</v>
      </c>
      <c r="T544" s="23">
        <v>2.25</v>
      </c>
      <c r="U544" s="23">
        <v>2.278</v>
      </c>
      <c r="V544" s="5" t="s">
        <v>3312</v>
      </c>
      <c r="W544" s="4">
        <v>22500</v>
      </c>
      <c r="X544" s="4">
        <v>202500</v>
      </c>
      <c r="Y544" s="11">
        <v>43783</v>
      </c>
      <c r="Z544" s="11">
        <v>45617</v>
      </c>
      <c r="AA544" s="2"/>
      <c r="AB544" s="63" t="s">
        <v>3840</v>
      </c>
      <c r="AC544" s="5" t="s">
        <v>4198</v>
      </c>
      <c r="AD544" s="2"/>
      <c r="AE544" s="6"/>
      <c r="AF544" s="23"/>
      <c r="AG544" s="6"/>
      <c r="AH544" s="5" t="s">
        <v>3</v>
      </c>
      <c r="AI544" s="5" t="s">
        <v>4302</v>
      </c>
      <c r="AJ544" s="5" t="s">
        <v>928</v>
      </c>
      <c r="AK544" s="16" t="s">
        <v>3</v>
      </c>
      <c r="AL544" s="65" t="s">
        <v>2715</v>
      </c>
      <c r="AM544" s="31" t="s">
        <v>1161</v>
      </c>
    </row>
    <row r="545" spans="2:39" x14ac:dyDescent="0.25">
      <c r="B545" s="18" t="s">
        <v>671</v>
      </c>
      <c r="C545" s="44" t="s">
        <v>3390</v>
      </c>
      <c r="D545" s="20" t="s">
        <v>1224</v>
      </c>
      <c r="E545" s="67" t="s">
        <v>3</v>
      </c>
      <c r="F545" s="51" t="s">
        <v>3</v>
      </c>
      <c r="G545" s="37" t="s">
        <v>3</v>
      </c>
      <c r="H545" s="68" t="s">
        <v>2715</v>
      </c>
      <c r="I545" s="62" t="s">
        <v>2218</v>
      </c>
      <c r="J545" s="61" t="s">
        <v>250</v>
      </c>
      <c r="K545" s="4">
        <v>395724</v>
      </c>
      <c r="L545" s="39">
        <v>100.12</v>
      </c>
      <c r="M545" s="4">
        <v>400480</v>
      </c>
      <c r="N545" s="4">
        <v>400000</v>
      </c>
      <c r="O545" s="4">
        <v>399797</v>
      </c>
      <c r="P545" s="4">
        <v>0</v>
      </c>
      <c r="Q545" s="4">
        <v>2338</v>
      </c>
      <c r="R545" s="4">
        <v>0</v>
      </c>
      <c r="S545" s="4">
        <v>0</v>
      </c>
      <c r="T545" s="23">
        <v>1.85</v>
      </c>
      <c r="U545" s="23">
        <v>2.4460000000000002</v>
      </c>
      <c r="V545" s="5" t="s">
        <v>248</v>
      </c>
      <c r="W545" s="4">
        <v>3063</v>
      </c>
      <c r="X545" s="4">
        <v>7400</v>
      </c>
      <c r="Y545" s="11">
        <v>43553</v>
      </c>
      <c r="Z545" s="11">
        <v>44229</v>
      </c>
      <c r="AA545" s="2"/>
      <c r="AB545" s="63" t="s">
        <v>3840</v>
      </c>
      <c r="AC545" s="5" t="s">
        <v>4198</v>
      </c>
      <c r="AD545" s="2"/>
      <c r="AE545" s="9"/>
      <c r="AF545" s="23"/>
      <c r="AG545" s="9"/>
      <c r="AH545" s="5" t="s">
        <v>2298</v>
      </c>
      <c r="AI545" s="5" t="s">
        <v>1224</v>
      </c>
      <c r="AJ545" s="5" t="s">
        <v>3</v>
      </c>
      <c r="AK545" s="16" t="s">
        <v>3</v>
      </c>
      <c r="AL545" s="65" t="s">
        <v>3842</v>
      </c>
      <c r="AM545" s="31" t="s">
        <v>1351</v>
      </c>
    </row>
    <row r="546" spans="2:39" x14ac:dyDescent="0.25">
      <c r="B546" s="18" t="s">
        <v>1781</v>
      </c>
      <c r="C546" s="44" t="s">
        <v>3391</v>
      </c>
      <c r="D546" s="20" t="s">
        <v>3635</v>
      </c>
      <c r="E546" s="67" t="s">
        <v>3</v>
      </c>
      <c r="F546" s="51" t="s">
        <v>3</v>
      </c>
      <c r="G546" s="37" t="s">
        <v>2715</v>
      </c>
      <c r="H546" s="68" t="s">
        <v>3842</v>
      </c>
      <c r="I546" s="62" t="s">
        <v>3310</v>
      </c>
      <c r="J546" s="61" t="s">
        <v>250</v>
      </c>
      <c r="K546" s="4">
        <v>4990500</v>
      </c>
      <c r="L546" s="39">
        <v>101.28400000000001</v>
      </c>
      <c r="M546" s="4">
        <v>5064200</v>
      </c>
      <c r="N546" s="4">
        <v>5000000</v>
      </c>
      <c r="O546" s="4">
        <v>4998282</v>
      </c>
      <c r="P546" s="4">
        <v>0</v>
      </c>
      <c r="Q546" s="4">
        <v>1934</v>
      </c>
      <c r="R546" s="4">
        <v>0</v>
      </c>
      <c r="S546" s="4">
        <v>0</v>
      </c>
      <c r="T546" s="23">
        <v>2</v>
      </c>
      <c r="U546" s="23">
        <v>2.04</v>
      </c>
      <c r="V546" s="5" t="s">
        <v>3312</v>
      </c>
      <c r="W546" s="4">
        <v>12778</v>
      </c>
      <c r="X546" s="4">
        <v>100000</v>
      </c>
      <c r="Y546" s="11">
        <v>42677</v>
      </c>
      <c r="Z546" s="11">
        <v>44515</v>
      </c>
      <c r="AA546" s="2"/>
      <c r="AB546" s="63" t="s">
        <v>3840</v>
      </c>
      <c r="AC546" s="5" t="s">
        <v>4198</v>
      </c>
      <c r="AD546" s="2"/>
      <c r="AE546" s="11">
        <v>44484</v>
      </c>
      <c r="AF546" s="23">
        <v>100</v>
      </c>
      <c r="AG546" s="6"/>
      <c r="AH546" s="5" t="s">
        <v>2082</v>
      </c>
      <c r="AI546" s="5" t="s">
        <v>2299</v>
      </c>
      <c r="AJ546" s="5" t="s">
        <v>2299</v>
      </c>
      <c r="AK546" s="16" t="s">
        <v>3</v>
      </c>
      <c r="AL546" s="65" t="s">
        <v>3842</v>
      </c>
      <c r="AM546" s="31" t="s">
        <v>1651</v>
      </c>
    </row>
    <row r="547" spans="2:39" x14ac:dyDescent="0.25">
      <c r="B547" s="18" t="s">
        <v>2864</v>
      </c>
      <c r="C547" s="44" t="s">
        <v>1432</v>
      </c>
      <c r="D547" s="20" t="s">
        <v>3635</v>
      </c>
      <c r="E547" s="67" t="s">
        <v>3</v>
      </c>
      <c r="F547" s="51" t="s">
        <v>3</v>
      </c>
      <c r="G547" s="37" t="s">
        <v>2715</v>
      </c>
      <c r="H547" s="68" t="s">
        <v>3842</v>
      </c>
      <c r="I547" s="62" t="s">
        <v>10</v>
      </c>
      <c r="J547" s="61" t="s">
        <v>250</v>
      </c>
      <c r="K547" s="4">
        <v>4497885</v>
      </c>
      <c r="L547" s="39">
        <v>107.73699999999999</v>
      </c>
      <c r="M547" s="4">
        <v>4848165</v>
      </c>
      <c r="N547" s="4">
        <v>4500000</v>
      </c>
      <c r="O547" s="4">
        <v>4498533</v>
      </c>
      <c r="P547" s="4">
        <v>0</v>
      </c>
      <c r="Q547" s="4">
        <v>398</v>
      </c>
      <c r="R547" s="4">
        <v>0</v>
      </c>
      <c r="S547" s="4">
        <v>0</v>
      </c>
      <c r="T547" s="23">
        <v>2.875</v>
      </c>
      <c r="U547" s="23">
        <v>2.8849999999999998</v>
      </c>
      <c r="V547" s="5" t="s">
        <v>3844</v>
      </c>
      <c r="W547" s="4">
        <v>5750</v>
      </c>
      <c r="X547" s="4">
        <v>129375</v>
      </c>
      <c r="Y547" s="11">
        <v>43619</v>
      </c>
      <c r="Z547" s="11">
        <v>45458</v>
      </c>
      <c r="AA547" s="2"/>
      <c r="AB547" s="63" t="s">
        <v>3840</v>
      </c>
      <c r="AC547" s="5" t="s">
        <v>4198</v>
      </c>
      <c r="AD547" s="2"/>
      <c r="AE547" s="11">
        <v>45427</v>
      </c>
      <c r="AF547" s="23">
        <v>100</v>
      </c>
      <c r="AG547" s="6"/>
      <c r="AH547" s="5" t="s">
        <v>2082</v>
      </c>
      <c r="AI547" s="5" t="s">
        <v>2299</v>
      </c>
      <c r="AJ547" s="5" t="s">
        <v>2299</v>
      </c>
      <c r="AK547" s="16" t="s">
        <v>3</v>
      </c>
      <c r="AL547" s="65" t="s">
        <v>3842</v>
      </c>
      <c r="AM547" s="31" t="s">
        <v>1176</v>
      </c>
    </row>
    <row r="548" spans="2:39" x14ac:dyDescent="0.25">
      <c r="B548" s="18" t="s">
        <v>3969</v>
      </c>
      <c r="C548" s="44" t="s">
        <v>3970</v>
      </c>
      <c r="D548" s="20" t="s">
        <v>3971</v>
      </c>
      <c r="E548" s="67" t="s">
        <v>3</v>
      </c>
      <c r="F548" s="51" t="s">
        <v>3</v>
      </c>
      <c r="G548" s="37" t="s">
        <v>2715</v>
      </c>
      <c r="H548" s="68" t="s">
        <v>929</v>
      </c>
      <c r="I548" s="62" t="s">
        <v>3310</v>
      </c>
      <c r="J548" s="61" t="s">
        <v>250</v>
      </c>
      <c r="K548" s="4">
        <v>4861800</v>
      </c>
      <c r="L548" s="39">
        <v>106.441</v>
      </c>
      <c r="M548" s="4">
        <v>5215609</v>
      </c>
      <c r="N548" s="4">
        <v>4900000</v>
      </c>
      <c r="O548" s="4">
        <v>4865869</v>
      </c>
      <c r="P548" s="4">
        <v>0</v>
      </c>
      <c r="Q548" s="4">
        <v>4069</v>
      </c>
      <c r="R548" s="4">
        <v>0</v>
      </c>
      <c r="S548" s="4">
        <v>0</v>
      </c>
      <c r="T548" s="23">
        <v>4.75</v>
      </c>
      <c r="U548" s="23">
        <v>4.8819999999999997</v>
      </c>
      <c r="V548" s="5" t="s">
        <v>248</v>
      </c>
      <c r="W548" s="4">
        <v>87928</v>
      </c>
      <c r="X548" s="4">
        <v>123487</v>
      </c>
      <c r="Y548" s="11">
        <v>43889</v>
      </c>
      <c r="Z548" s="11">
        <v>46433</v>
      </c>
      <c r="AA548" s="2"/>
      <c r="AB548" s="63" t="s">
        <v>3840</v>
      </c>
      <c r="AC548" s="5" t="s">
        <v>4198</v>
      </c>
      <c r="AD548" s="2"/>
      <c r="AE548" s="11">
        <v>46341</v>
      </c>
      <c r="AF548" s="23">
        <v>100</v>
      </c>
      <c r="AG548" s="9"/>
      <c r="AH548" s="5" t="s">
        <v>95</v>
      </c>
      <c r="AI548" s="5" t="s">
        <v>3971</v>
      </c>
      <c r="AJ548" s="5" t="s">
        <v>3</v>
      </c>
      <c r="AK548" s="16" t="s">
        <v>3</v>
      </c>
      <c r="AL548" s="65" t="s">
        <v>2715</v>
      </c>
      <c r="AM548" s="31" t="s">
        <v>933</v>
      </c>
    </row>
    <row r="549" spans="2:39" x14ac:dyDescent="0.25">
      <c r="B549" s="18" t="s">
        <v>672</v>
      </c>
      <c r="C549" s="44" t="s">
        <v>2529</v>
      </c>
      <c r="D549" s="20" t="s">
        <v>4303</v>
      </c>
      <c r="E549" s="67" t="s">
        <v>3</v>
      </c>
      <c r="F549" s="51" t="s">
        <v>3</v>
      </c>
      <c r="G549" s="37" t="s">
        <v>2715</v>
      </c>
      <c r="H549" s="68" t="s">
        <v>2715</v>
      </c>
      <c r="I549" s="62" t="s">
        <v>1358</v>
      </c>
      <c r="J549" s="61" t="s">
        <v>250</v>
      </c>
      <c r="K549" s="4">
        <v>4739450</v>
      </c>
      <c r="L549" s="39">
        <v>107.774</v>
      </c>
      <c r="M549" s="4">
        <v>5388700</v>
      </c>
      <c r="N549" s="4">
        <v>5000000</v>
      </c>
      <c r="O549" s="4">
        <v>4842973</v>
      </c>
      <c r="P549" s="4">
        <v>0</v>
      </c>
      <c r="Q549" s="4">
        <v>42592</v>
      </c>
      <c r="R549" s="4">
        <v>0</v>
      </c>
      <c r="S549" s="4">
        <v>0</v>
      </c>
      <c r="T549" s="23">
        <v>2.9</v>
      </c>
      <c r="U549" s="23">
        <v>3.899</v>
      </c>
      <c r="V549" s="5" t="s">
        <v>3312</v>
      </c>
      <c r="W549" s="4">
        <v>16514</v>
      </c>
      <c r="X549" s="4">
        <v>145000</v>
      </c>
      <c r="Y549" s="11">
        <v>43278</v>
      </c>
      <c r="Z549" s="11">
        <v>45432</v>
      </c>
      <c r="AA549" s="2"/>
      <c r="AB549" s="63" t="s">
        <v>3840</v>
      </c>
      <c r="AC549" s="5" t="s">
        <v>4198</v>
      </c>
      <c r="AD549" s="2"/>
      <c r="AE549" s="11">
        <v>45371</v>
      </c>
      <c r="AF549" s="23">
        <v>100</v>
      </c>
      <c r="AG549" s="6"/>
      <c r="AH549" s="5" t="s">
        <v>3636</v>
      </c>
      <c r="AI549" s="5" t="s">
        <v>3173</v>
      </c>
      <c r="AJ549" s="5" t="s">
        <v>2865</v>
      </c>
      <c r="AK549" s="16" t="s">
        <v>3</v>
      </c>
      <c r="AL549" s="65" t="s">
        <v>3842</v>
      </c>
      <c r="AM549" s="31" t="s">
        <v>559</v>
      </c>
    </row>
    <row r="550" spans="2:39" x14ac:dyDescent="0.25">
      <c r="B550" s="18" t="s">
        <v>2083</v>
      </c>
      <c r="C550" s="44" t="s">
        <v>1011</v>
      </c>
      <c r="D550" s="20" t="s">
        <v>4304</v>
      </c>
      <c r="E550" s="67" t="s">
        <v>3</v>
      </c>
      <c r="F550" s="51" t="s">
        <v>3</v>
      </c>
      <c r="G550" s="37" t="s">
        <v>2715</v>
      </c>
      <c r="H550" s="68" t="s">
        <v>3842</v>
      </c>
      <c r="I550" s="62" t="s">
        <v>1157</v>
      </c>
      <c r="J550" s="61" t="s">
        <v>250</v>
      </c>
      <c r="K550" s="4">
        <v>2004240</v>
      </c>
      <c r="L550" s="39">
        <v>103.364</v>
      </c>
      <c r="M550" s="4">
        <v>2067280</v>
      </c>
      <c r="N550" s="4">
        <v>2000000</v>
      </c>
      <c r="O550" s="4">
        <v>2002159</v>
      </c>
      <c r="P550" s="4">
        <v>0</v>
      </c>
      <c r="Q550" s="4">
        <v>-1232</v>
      </c>
      <c r="R550" s="4">
        <v>0</v>
      </c>
      <c r="S550" s="4">
        <v>0</v>
      </c>
      <c r="T550" s="23">
        <v>3.45</v>
      </c>
      <c r="U550" s="23">
        <v>3.383</v>
      </c>
      <c r="V550" s="5" t="s">
        <v>3312</v>
      </c>
      <c r="W550" s="4">
        <v>8817</v>
      </c>
      <c r="X550" s="4">
        <v>69000</v>
      </c>
      <c r="Y550" s="11">
        <v>43553</v>
      </c>
      <c r="Z550" s="11">
        <v>44880</v>
      </c>
      <c r="AA550" s="2"/>
      <c r="AB550" s="63" t="s">
        <v>3840</v>
      </c>
      <c r="AC550" s="5" t="s">
        <v>4198</v>
      </c>
      <c r="AD550" s="2"/>
      <c r="AE550" s="11">
        <v>44788</v>
      </c>
      <c r="AF550" s="23">
        <v>100</v>
      </c>
      <c r="AG550" s="10">
        <v>44788</v>
      </c>
      <c r="AH550" s="5" t="s">
        <v>2866</v>
      </c>
      <c r="AI550" s="5" t="s">
        <v>3392</v>
      </c>
      <c r="AJ550" s="5" t="s">
        <v>3392</v>
      </c>
      <c r="AK550" s="16" t="s">
        <v>3</v>
      </c>
      <c r="AL550" s="65" t="s">
        <v>3842</v>
      </c>
      <c r="AM550" s="31" t="s">
        <v>926</v>
      </c>
    </row>
    <row r="551" spans="2:39" x14ac:dyDescent="0.25">
      <c r="B551" s="18" t="s">
        <v>3174</v>
      </c>
      <c r="C551" s="44" t="s">
        <v>1012</v>
      </c>
      <c r="D551" s="20" t="s">
        <v>599</v>
      </c>
      <c r="E551" s="67" t="s">
        <v>3</v>
      </c>
      <c r="F551" s="51" t="s">
        <v>3</v>
      </c>
      <c r="G551" s="37" t="s">
        <v>2715</v>
      </c>
      <c r="H551" s="68" t="s">
        <v>3842</v>
      </c>
      <c r="I551" s="62" t="s">
        <v>3310</v>
      </c>
      <c r="J551" s="61" t="s">
        <v>250</v>
      </c>
      <c r="K551" s="4">
        <v>4987350</v>
      </c>
      <c r="L551" s="39">
        <v>106.117</v>
      </c>
      <c r="M551" s="4">
        <v>5305850</v>
      </c>
      <c r="N551" s="4">
        <v>5000000</v>
      </c>
      <c r="O551" s="4">
        <v>4988961</v>
      </c>
      <c r="P551" s="4">
        <v>0</v>
      </c>
      <c r="Q551" s="4">
        <v>1611</v>
      </c>
      <c r="R551" s="4">
        <v>0</v>
      </c>
      <c r="S551" s="4">
        <v>0</v>
      </c>
      <c r="T551" s="23">
        <v>2.25</v>
      </c>
      <c r="U551" s="23">
        <v>2.3039999999999998</v>
      </c>
      <c r="V551" s="5" t="s">
        <v>3843</v>
      </c>
      <c r="W551" s="4">
        <v>19688</v>
      </c>
      <c r="X551" s="4">
        <v>55625</v>
      </c>
      <c r="Y551" s="11">
        <v>43948</v>
      </c>
      <c r="Z551" s="11">
        <v>45775</v>
      </c>
      <c r="AA551" s="2"/>
      <c r="AB551" s="63" t="s">
        <v>3840</v>
      </c>
      <c r="AC551" s="5" t="s">
        <v>4198</v>
      </c>
      <c r="AD551" s="2"/>
      <c r="AE551" s="11">
        <v>45744</v>
      </c>
      <c r="AF551" s="23">
        <v>100</v>
      </c>
      <c r="AG551" s="6"/>
      <c r="AH551" s="5" t="s">
        <v>3</v>
      </c>
      <c r="AI551" s="5" t="s">
        <v>599</v>
      </c>
      <c r="AJ551" s="5" t="s">
        <v>3</v>
      </c>
      <c r="AK551" s="16" t="s">
        <v>3</v>
      </c>
      <c r="AL551" s="65" t="s">
        <v>3842</v>
      </c>
      <c r="AM551" s="31" t="s">
        <v>1651</v>
      </c>
    </row>
    <row r="552" spans="2:39" x14ac:dyDescent="0.25">
      <c r="B552" s="18" t="s">
        <v>4305</v>
      </c>
      <c r="C552" s="44" t="s">
        <v>2300</v>
      </c>
      <c r="D552" s="20" t="s">
        <v>3637</v>
      </c>
      <c r="E552" s="67" t="s">
        <v>3</v>
      </c>
      <c r="F552" s="51" t="s">
        <v>3</v>
      </c>
      <c r="G552" s="37" t="s">
        <v>2715</v>
      </c>
      <c r="H552" s="68" t="s">
        <v>3842</v>
      </c>
      <c r="I552" s="62" t="s">
        <v>3310</v>
      </c>
      <c r="J552" s="61" t="s">
        <v>250</v>
      </c>
      <c r="K552" s="4">
        <v>4984750</v>
      </c>
      <c r="L552" s="39">
        <v>106.045</v>
      </c>
      <c r="M552" s="4">
        <v>5302250</v>
      </c>
      <c r="N552" s="4">
        <v>5000000</v>
      </c>
      <c r="O552" s="4">
        <v>4986547</v>
      </c>
      <c r="P552" s="4">
        <v>0</v>
      </c>
      <c r="Q552" s="4">
        <v>1797</v>
      </c>
      <c r="R552" s="4">
        <v>0</v>
      </c>
      <c r="S552" s="4">
        <v>0</v>
      </c>
      <c r="T552" s="23">
        <v>2.25</v>
      </c>
      <c r="U552" s="23">
        <v>2.3149999999999999</v>
      </c>
      <c r="V552" s="5" t="s">
        <v>3312</v>
      </c>
      <c r="W552" s="4">
        <v>13438</v>
      </c>
      <c r="X552" s="4">
        <v>56250</v>
      </c>
      <c r="Y552" s="11">
        <v>43964</v>
      </c>
      <c r="Z552" s="11">
        <v>45795</v>
      </c>
      <c r="AA552" s="2"/>
      <c r="AB552" s="63" t="s">
        <v>3840</v>
      </c>
      <c r="AC552" s="5" t="s">
        <v>4198</v>
      </c>
      <c r="AD552" s="2"/>
      <c r="AE552" s="11">
        <v>45765</v>
      </c>
      <c r="AF552" s="23">
        <v>100</v>
      </c>
      <c r="AG552" s="9"/>
      <c r="AH552" s="5" t="s">
        <v>2301</v>
      </c>
      <c r="AI552" s="5" t="s">
        <v>3637</v>
      </c>
      <c r="AJ552" s="5" t="s">
        <v>3</v>
      </c>
      <c r="AK552" s="16" t="s">
        <v>3</v>
      </c>
      <c r="AL552" s="65" t="s">
        <v>3842</v>
      </c>
      <c r="AM552" s="31" t="s">
        <v>1651</v>
      </c>
    </row>
    <row r="553" spans="2:39" x14ac:dyDescent="0.25">
      <c r="B553" s="18" t="s">
        <v>1013</v>
      </c>
      <c r="C553" s="44" t="s">
        <v>3393</v>
      </c>
      <c r="D553" s="20" t="s">
        <v>3972</v>
      </c>
      <c r="E553" s="67" t="s">
        <v>3</v>
      </c>
      <c r="F553" s="51" t="s">
        <v>3</v>
      </c>
      <c r="G553" s="37" t="s">
        <v>2715</v>
      </c>
      <c r="H553" s="68" t="s">
        <v>3842</v>
      </c>
      <c r="I553" s="62" t="s">
        <v>10</v>
      </c>
      <c r="J553" s="61" t="s">
        <v>250</v>
      </c>
      <c r="K553" s="4">
        <v>5025150</v>
      </c>
      <c r="L553" s="39">
        <v>107.917</v>
      </c>
      <c r="M553" s="4">
        <v>5395850</v>
      </c>
      <c r="N553" s="4">
        <v>5000000</v>
      </c>
      <c r="O553" s="4">
        <v>5012815</v>
      </c>
      <c r="P553" s="4">
        <v>0</v>
      </c>
      <c r="Q553" s="4">
        <v>-6319</v>
      </c>
      <c r="R553" s="4">
        <v>0</v>
      </c>
      <c r="S553" s="4">
        <v>0</v>
      </c>
      <c r="T553" s="23">
        <v>4.5</v>
      </c>
      <c r="U553" s="23">
        <v>4.3579999999999997</v>
      </c>
      <c r="V553" s="5" t="s">
        <v>3843</v>
      </c>
      <c r="W553" s="4">
        <v>47500</v>
      </c>
      <c r="X553" s="4">
        <v>225000</v>
      </c>
      <c r="Y553" s="11">
        <v>43447</v>
      </c>
      <c r="Z553" s="11">
        <v>45031</v>
      </c>
      <c r="AA553" s="2"/>
      <c r="AB553" s="63" t="s">
        <v>3840</v>
      </c>
      <c r="AC553" s="5" t="s">
        <v>4198</v>
      </c>
      <c r="AD553" s="2"/>
      <c r="AE553" s="11">
        <v>44941</v>
      </c>
      <c r="AF553" s="23">
        <v>100</v>
      </c>
      <c r="AG553" s="10">
        <v>44941</v>
      </c>
      <c r="AH553" s="5" t="s">
        <v>3</v>
      </c>
      <c r="AI553" s="5" t="s">
        <v>3973</v>
      </c>
      <c r="AJ553" s="5" t="s">
        <v>2530</v>
      </c>
      <c r="AK553" s="16" t="s">
        <v>3</v>
      </c>
      <c r="AL553" s="65" t="s">
        <v>2715</v>
      </c>
      <c r="AM553" s="31" t="s">
        <v>1176</v>
      </c>
    </row>
    <row r="554" spans="2:39" x14ac:dyDescent="0.25">
      <c r="B554" s="18" t="s">
        <v>2867</v>
      </c>
      <c r="C554" s="44" t="s">
        <v>96</v>
      </c>
      <c r="D554" s="20" t="s">
        <v>1433</v>
      </c>
      <c r="E554" s="67" t="s">
        <v>3</v>
      </c>
      <c r="F554" s="51" t="s">
        <v>3</v>
      </c>
      <c r="G554" s="37" t="s">
        <v>2715</v>
      </c>
      <c r="H554" s="68" t="s">
        <v>2715</v>
      </c>
      <c r="I554" s="62" t="s">
        <v>3538</v>
      </c>
      <c r="J554" s="61" t="s">
        <v>250</v>
      </c>
      <c r="K554" s="4">
        <v>20425258</v>
      </c>
      <c r="L554" s="39">
        <v>105.952</v>
      </c>
      <c r="M554" s="4">
        <v>21508256</v>
      </c>
      <c r="N554" s="4">
        <v>20300000</v>
      </c>
      <c r="O554" s="4">
        <v>20411001</v>
      </c>
      <c r="P554" s="4">
        <v>0</v>
      </c>
      <c r="Q554" s="4">
        <v>-14257</v>
      </c>
      <c r="R554" s="4">
        <v>0</v>
      </c>
      <c r="S554" s="4">
        <v>0</v>
      </c>
      <c r="T554" s="23">
        <v>2.75</v>
      </c>
      <c r="U554" s="23">
        <v>2.6509999999999998</v>
      </c>
      <c r="V554" s="5" t="s">
        <v>1982</v>
      </c>
      <c r="W554" s="4">
        <v>248111</v>
      </c>
      <c r="X554" s="4">
        <v>279125</v>
      </c>
      <c r="Y554" s="11">
        <v>43873</v>
      </c>
      <c r="Z554" s="11">
        <v>46408</v>
      </c>
      <c r="AA554" s="2"/>
      <c r="AB554" s="63" t="s">
        <v>3840</v>
      </c>
      <c r="AC554" s="5" t="s">
        <v>4198</v>
      </c>
      <c r="AD554" s="2"/>
      <c r="AE554" s="9"/>
      <c r="AF554" s="23"/>
      <c r="AG554" s="6"/>
      <c r="AH554" s="5" t="s">
        <v>3</v>
      </c>
      <c r="AI554" s="5" t="s">
        <v>3974</v>
      </c>
      <c r="AJ554" s="5" t="s">
        <v>928</v>
      </c>
      <c r="AK554" s="16" t="s">
        <v>3</v>
      </c>
      <c r="AL554" s="65" t="s">
        <v>2715</v>
      </c>
      <c r="AM554" s="31" t="s">
        <v>1161</v>
      </c>
    </row>
    <row r="555" spans="2:39" x14ac:dyDescent="0.25">
      <c r="B555" s="18" t="s">
        <v>3975</v>
      </c>
      <c r="C555" s="44" t="s">
        <v>3394</v>
      </c>
      <c r="D555" s="20" t="s">
        <v>1433</v>
      </c>
      <c r="E555" s="67" t="s">
        <v>3</v>
      </c>
      <c r="F555" s="51" t="s">
        <v>3</v>
      </c>
      <c r="G555" s="37" t="s">
        <v>2715</v>
      </c>
      <c r="H555" s="68" t="s">
        <v>2715</v>
      </c>
      <c r="I555" s="62" t="s">
        <v>3538</v>
      </c>
      <c r="J555" s="61" t="s">
        <v>250</v>
      </c>
      <c r="K555" s="4">
        <v>4978250</v>
      </c>
      <c r="L555" s="39">
        <v>105.822</v>
      </c>
      <c r="M555" s="4">
        <v>5291100</v>
      </c>
      <c r="N555" s="4">
        <v>5000000</v>
      </c>
      <c r="O555" s="4">
        <v>4980910</v>
      </c>
      <c r="P555" s="4">
        <v>0</v>
      </c>
      <c r="Q555" s="4">
        <v>2660</v>
      </c>
      <c r="R555" s="4">
        <v>0</v>
      </c>
      <c r="S555" s="4">
        <v>0</v>
      </c>
      <c r="T555" s="23">
        <v>2.75</v>
      </c>
      <c r="U555" s="23">
        <v>2.8439999999999999</v>
      </c>
      <c r="V555" s="5" t="s">
        <v>3312</v>
      </c>
      <c r="W555" s="4">
        <v>20625</v>
      </c>
      <c r="X555" s="4">
        <v>68750</v>
      </c>
      <c r="Y555" s="11">
        <v>43951</v>
      </c>
      <c r="Z555" s="11">
        <v>45784</v>
      </c>
      <c r="AA555" s="2"/>
      <c r="AB555" s="63" t="s">
        <v>3840</v>
      </c>
      <c r="AC555" s="5" t="s">
        <v>4198</v>
      </c>
      <c r="AD555" s="2"/>
      <c r="AE555" s="9"/>
      <c r="AF555" s="23"/>
      <c r="AG555" s="9"/>
      <c r="AH555" s="5" t="s">
        <v>3</v>
      </c>
      <c r="AI555" s="5" t="s">
        <v>3974</v>
      </c>
      <c r="AJ555" s="5" t="s">
        <v>928</v>
      </c>
      <c r="AK555" s="16" t="s">
        <v>3</v>
      </c>
      <c r="AL555" s="65" t="s">
        <v>2715</v>
      </c>
      <c r="AM555" s="31" t="s">
        <v>1161</v>
      </c>
    </row>
    <row r="556" spans="2:39" x14ac:dyDescent="0.25">
      <c r="B556" s="18" t="s">
        <v>673</v>
      </c>
      <c r="C556" s="44" t="s">
        <v>674</v>
      </c>
      <c r="D556" s="20" t="s">
        <v>2531</v>
      </c>
      <c r="E556" s="67" t="s">
        <v>3</v>
      </c>
      <c r="F556" s="51" t="s">
        <v>3</v>
      </c>
      <c r="G556" s="37" t="s">
        <v>3</v>
      </c>
      <c r="H556" s="68" t="s">
        <v>3842</v>
      </c>
      <c r="I556" s="62" t="s">
        <v>3310</v>
      </c>
      <c r="J556" s="61" t="s">
        <v>3</v>
      </c>
      <c r="K556" s="4">
        <v>8000000</v>
      </c>
      <c r="L556" s="39">
        <v>109.33</v>
      </c>
      <c r="M556" s="4">
        <v>8746400</v>
      </c>
      <c r="N556" s="4">
        <v>8000000</v>
      </c>
      <c r="O556" s="4">
        <v>8000000</v>
      </c>
      <c r="P556" s="4">
        <v>0</v>
      </c>
      <c r="Q556" s="4">
        <v>0</v>
      </c>
      <c r="R556" s="4">
        <v>0</v>
      </c>
      <c r="S556" s="4">
        <v>0</v>
      </c>
      <c r="T556" s="23">
        <v>3.24</v>
      </c>
      <c r="U556" s="23">
        <v>3.24</v>
      </c>
      <c r="V556" s="5" t="s">
        <v>1982</v>
      </c>
      <c r="W556" s="4">
        <v>123120</v>
      </c>
      <c r="X556" s="4">
        <v>259273</v>
      </c>
      <c r="Y556" s="11">
        <v>43656</v>
      </c>
      <c r="Z556" s="11">
        <v>46213</v>
      </c>
      <c r="AA556" s="2"/>
      <c r="AB556" s="63" t="s">
        <v>1684</v>
      </c>
      <c r="AC556" s="5" t="s">
        <v>3</v>
      </c>
      <c r="AD556" s="2"/>
      <c r="AE556" s="6"/>
      <c r="AF556" s="23"/>
      <c r="AG556" s="6"/>
      <c r="AH556" s="5" t="s">
        <v>3</v>
      </c>
      <c r="AI556" s="5" t="s">
        <v>2531</v>
      </c>
      <c r="AJ556" s="5" t="s">
        <v>3</v>
      </c>
      <c r="AK556" s="16" t="s">
        <v>3</v>
      </c>
      <c r="AL556" s="65" t="s">
        <v>3842</v>
      </c>
      <c r="AM556" s="31" t="s">
        <v>309</v>
      </c>
    </row>
    <row r="557" spans="2:39" x14ac:dyDescent="0.25">
      <c r="B557" s="18" t="s">
        <v>1782</v>
      </c>
      <c r="C557" s="44" t="s">
        <v>3395</v>
      </c>
      <c r="D557" s="20" t="s">
        <v>2084</v>
      </c>
      <c r="E557" s="67" t="s">
        <v>3</v>
      </c>
      <c r="F557" s="51" t="s">
        <v>3</v>
      </c>
      <c r="G557" s="37" t="s">
        <v>2715</v>
      </c>
      <c r="H557" s="68" t="s">
        <v>2715</v>
      </c>
      <c r="I557" s="62" t="s">
        <v>1157</v>
      </c>
      <c r="J557" s="61" t="s">
        <v>250</v>
      </c>
      <c r="K557" s="4">
        <v>968460</v>
      </c>
      <c r="L557" s="39">
        <v>110.80200000000001</v>
      </c>
      <c r="M557" s="4">
        <v>1108020</v>
      </c>
      <c r="N557" s="4">
        <v>1000000</v>
      </c>
      <c r="O557" s="4">
        <v>978303</v>
      </c>
      <c r="P557" s="4">
        <v>0</v>
      </c>
      <c r="Q557" s="4">
        <v>4032</v>
      </c>
      <c r="R557" s="4">
        <v>0</v>
      </c>
      <c r="S557" s="4">
        <v>0</v>
      </c>
      <c r="T557" s="23">
        <v>3</v>
      </c>
      <c r="U557" s="23">
        <v>3.4889999999999999</v>
      </c>
      <c r="V557" s="5" t="s">
        <v>3312</v>
      </c>
      <c r="W557" s="4">
        <v>4250</v>
      </c>
      <c r="X557" s="4">
        <v>30000</v>
      </c>
      <c r="Y557" s="11">
        <v>43278</v>
      </c>
      <c r="Z557" s="11">
        <v>45971</v>
      </c>
      <c r="AA557" s="2"/>
      <c r="AB557" s="63" t="s">
        <v>3840</v>
      </c>
      <c r="AC557" s="5" t="s">
        <v>4198</v>
      </c>
      <c r="AD557" s="2"/>
      <c r="AE557" s="10">
        <v>45879</v>
      </c>
      <c r="AF557" s="23">
        <v>100</v>
      </c>
      <c r="AG557" s="6"/>
      <c r="AH557" s="5" t="s">
        <v>675</v>
      </c>
      <c r="AI557" s="5" t="s">
        <v>3396</v>
      </c>
      <c r="AJ557" s="5" t="s">
        <v>928</v>
      </c>
      <c r="AK557" s="16" t="s">
        <v>3</v>
      </c>
      <c r="AL557" s="65" t="s">
        <v>3842</v>
      </c>
      <c r="AM557" s="31" t="s">
        <v>1631</v>
      </c>
    </row>
    <row r="558" spans="2:39" x14ac:dyDescent="0.25">
      <c r="B558" s="18" t="s">
        <v>3175</v>
      </c>
      <c r="C558" s="44" t="s">
        <v>97</v>
      </c>
      <c r="D558" s="20" t="s">
        <v>2084</v>
      </c>
      <c r="E558" s="67" t="s">
        <v>3</v>
      </c>
      <c r="F558" s="51" t="s">
        <v>3</v>
      </c>
      <c r="G558" s="37" t="s">
        <v>2715</v>
      </c>
      <c r="H558" s="68" t="s">
        <v>2715</v>
      </c>
      <c r="I558" s="62" t="s">
        <v>1157</v>
      </c>
      <c r="J558" s="61" t="s">
        <v>250</v>
      </c>
      <c r="K558" s="4">
        <v>11485824</v>
      </c>
      <c r="L558" s="39">
        <v>108.578</v>
      </c>
      <c r="M558" s="4">
        <v>12160736</v>
      </c>
      <c r="N558" s="4">
        <v>11200000</v>
      </c>
      <c r="O558" s="4">
        <v>11450843</v>
      </c>
      <c r="P558" s="4">
        <v>0</v>
      </c>
      <c r="Q558" s="4">
        <v>-34981</v>
      </c>
      <c r="R558" s="4">
        <v>0</v>
      </c>
      <c r="S558" s="4">
        <v>0</v>
      </c>
      <c r="T558" s="23">
        <v>2.375</v>
      </c>
      <c r="U558" s="23">
        <v>1.966</v>
      </c>
      <c r="V558" s="5" t="s">
        <v>1982</v>
      </c>
      <c r="W558" s="4">
        <v>113050</v>
      </c>
      <c r="X558" s="4">
        <v>133000</v>
      </c>
      <c r="Y558" s="11">
        <v>43873</v>
      </c>
      <c r="Z558" s="11">
        <v>46415</v>
      </c>
      <c r="AA558" s="2"/>
      <c r="AB558" s="63" t="s">
        <v>3840</v>
      </c>
      <c r="AC558" s="5" t="s">
        <v>4198</v>
      </c>
      <c r="AD558" s="2"/>
      <c r="AE558" s="10">
        <v>46323</v>
      </c>
      <c r="AF558" s="23">
        <v>100</v>
      </c>
      <c r="AG558" s="10">
        <v>46323</v>
      </c>
      <c r="AH558" s="5" t="s">
        <v>675</v>
      </c>
      <c r="AI558" s="5" t="s">
        <v>3396</v>
      </c>
      <c r="AJ558" s="5" t="s">
        <v>928</v>
      </c>
      <c r="AK558" s="16" t="s">
        <v>3</v>
      </c>
      <c r="AL558" s="65" t="s">
        <v>3842</v>
      </c>
      <c r="AM558" s="31" t="s">
        <v>1631</v>
      </c>
    </row>
    <row r="559" spans="2:39" x14ac:dyDescent="0.25">
      <c r="B559" s="18" t="s">
        <v>4306</v>
      </c>
      <c r="C559" s="44" t="s">
        <v>4307</v>
      </c>
      <c r="D559" s="20" t="s">
        <v>2868</v>
      </c>
      <c r="E559" s="67" t="s">
        <v>3</v>
      </c>
      <c r="F559" s="51" t="s">
        <v>3</v>
      </c>
      <c r="G559" s="37" t="s">
        <v>2715</v>
      </c>
      <c r="H559" s="68" t="s">
        <v>3842</v>
      </c>
      <c r="I559" s="62" t="s">
        <v>3310</v>
      </c>
      <c r="J559" s="61" t="s">
        <v>250</v>
      </c>
      <c r="K559" s="4">
        <v>2995290</v>
      </c>
      <c r="L559" s="39">
        <v>102.107</v>
      </c>
      <c r="M559" s="4">
        <v>3063210</v>
      </c>
      <c r="N559" s="4">
        <v>3000000</v>
      </c>
      <c r="O559" s="4">
        <v>2999045</v>
      </c>
      <c r="P559" s="4">
        <v>0</v>
      </c>
      <c r="Q559" s="4">
        <v>973</v>
      </c>
      <c r="R559" s="4">
        <v>0</v>
      </c>
      <c r="S559" s="4">
        <v>0</v>
      </c>
      <c r="T559" s="23">
        <v>2.8</v>
      </c>
      <c r="U559" s="23">
        <v>2.8340000000000001</v>
      </c>
      <c r="V559" s="5" t="s">
        <v>3844</v>
      </c>
      <c r="W559" s="4">
        <v>3733</v>
      </c>
      <c r="X559" s="4">
        <v>84000</v>
      </c>
      <c r="Y559" s="11">
        <v>42712</v>
      </c>
      <c r="Z559" s="11">
        <v>44545</v>
      </c>
      <c r="AA559" s="2"/>
      <c r="AB559" s="63" t="s">
        <v>3840</v>
      </c>
      <c r="AC559" s="5" t="s">
        <v>4198</v>
      </c>
      <c r="AD559" s="2"/>
      <c r="AE559" s="10">
        <v>44515</v>
      </c>
      <c r="AF559" s="23">
        <v>100</v>
      </c>
      <c r="AG559" s="6"/>
      <c r="AH559" s="5" t="s">
        <v>1014</v>
      </c>
      <c r="AI559" s="5" t="s">
        <v>2868</v>
      </c>
      <c r="AJ559" s="5" t="s">
        <v>3</v>
      </c>
      <c r="AK559" s="16" t="s">
        <v>3</v>
      </c>
      <c r="AL559" s="65" t="s">
        <v>3842</v>
      </c>
      <c r="AM559" s="31" t="s">
        <v>1651</v>
      </c>
    </row>
    <row r="560" spans="2:39" x14ac:dyDescent="0.25">
      <c r="B560" s="18" t="s">
        <v>1015</v>
      </c>
      <c r="C560" s="44" t="s">
        <v>2302</v>
      </c>
      <c r="D560" s="20" t="s">
        <v>2868</v>
      </c>
      <c r="E560" s="67" t="s">
        <v>3</v>
      </c>
      <c r="F560" s="51" t="s">
        <v>3</v>
      </c>
      <c r="G560" s="37" t="s">
        <v>2715</v>
      </c>
      <c r="H560" s="68" t="s">
        <v>3842</v>
      </c>
      <c r="I560" s="62" t="s">
        <v>3310</v>
      </c>
      <c r="J560" s="61" t="s">
        <v>250</v>
      </c>
      <c r="K560" s="4">
        <v>1996760</v>
      </c>
      <c r="L560" s="39">
        <v>108.319</v>
      </c>
      <c r="M560" s="4">
        <v>2166380</v>
      </c>
      <c r="N560" s="4">
        <v>2000000</v>
      </c>
      <c r="O560" s="4">
        <v>1998209</v>
      </c>
      <c r="P560" s="4">
        <v>0</v>
      </c>
      <c r="Q560" s="4">
        <v>619</v>
      </c>
      <c r="R560" s="4">
        <v>0</v>
      </c>
      <c r="S560" s="4">
        <v>0</v>
      </c>
      <c r="T560" s="23">
        <v>3.65</v>
      </c>
      <c r="U560" s="23">
        <v>3.6850000000000001</v>
      </c>
      <c r="V560" s="5" t="s">
        <v>12</v>
      </c>
      <c r="W560" s="4">
        <v>21494</v>
      </c>
      <c r="X560" s="4">
        <v>73000</v>
      </c>
      <c r="Y560" s="11">
        <v>43326</v>
      </c>
      <c r="Z560" s="11">
        <v>45184</v>
      </c>
      <c r="AA560" s="2"/>
      <c r="AB560" s="63" t="s">
        <v>3840</v>
      </c>
      <c r="AC560" s="5" t="s">
        <v>4198</v>
      </c>
      <c r="AD560" s="2"/>
      <c r="AE560" s="11">
        <v>45153</v>
      </c>
      <c r="AF560" s="23">
        <v>100</v>
      </c>
      <c r="AG560" s="6"/>
      <c r="AH560" s="5" t="s">
        <v>1014</v>
      </c>
      <c r="AI560" s="5" t="s">
        <v>2868</v>
      </c>
      <c r="AJ560" s="5" t="s">
        <v>3</v>
      </c>
      <c r="AK560" s="16" t="s">
        <v>3</v>
      </c>
      <c r="AL560" s="65" t="s">
        <v>3842</v>
      </c>
      <c r="AM560" s="31" t="s">
        <v>1651</v>
      </c>
    </row>
    <row r="561" spans="2:39" x14ac:dyDescent="0.25">
      <c r="B561" s="18" t="s">
        <v>2085</v>
      </c>
      <c r="C561" s="44" t="s">
        <v>3638</v>
      </c>
      <c r="D561" s="20" t="s">
        <v>2868</v>
      </c>
      <c r="E561" s="67" t="s">
        <v>3</v>
      </c>
      <c r="F561" s="51" t="s">
        <v>3</v>
      </c>
      <c r="G561" s="37" t="s">
        <v>2715</v>
      </c>
      <c r="H561" s="68" t="s">
        <v>3842</v>
      </c>
      <c r="I561" s="62" t="s">
        <v>10</v>
      </c>
      <c r="J561" s="61" t="s">
        <v>250</v>
      </c>
      <c r="K561" s="4">
        <v>3992600</v>
      </c>
      <c r="L561" s="39">
        <v>106.509</v>
      </c>
      <c r="M561" s="4">
        <v>4260360</v>
      </c>
      <c r="N561" s="4">
        <v>4000000</v>
      </c>
      <c r="O561" s="4">
        <v>3994512</v>
      </c>
      <c r="P561" s="4">
        <v>0</v>
      </c>
      <c r="Q561" s="4">
        <v>1424</v>
      </c>
      <c r="R561" s="4">
        <v>0</v>
      </c>
      <c r="S561" s="4">
        <v>0</v>
      </c>
      <c r="T561" s="23">
        <v>2.35</v>
      </c>
      <c r="U561" s="23">
        <v>2.3889999999999998</v>
      </c>
      <c r="V561" s="5" t="s">
        <v>12</v>
      </c>
      <c r="W561" s="4">
        <v>27678</v>
      </c>
      <c r="X561" s="4">
        <v>98961</v>
      </c>
      <c r="Y561" s="11">
        <v>43696</v>
      </c>
      <c r="Z561" s="11">
        <v>45550</v>
      </c>
      <c r="AA561" s="2"/>
      <c r="AB561" s="63" t="s">
        <v>3840</v>
      </c>
      <c r="AC561" s="5" t="s">
        <v>4198</v>
      </c>
      <c r="AD561" s="2"/>
      <c r="AE561" s="11">
        <v>45519</v>
      </c>
      <c r="AF561" s="23">
        <v>100</v>
      </c>
      <c r="AG561" s="6"/>
      <c r="AH561" s="5" t="s">
        <v>1014</v>
      </c>
      <c r="AI561" s="5" t="s">
        <v>2868</v>
      </c>
      <c r="AJ561" s="5" t="s">
        <v>3</v>
      </c>
      <c r="AK561" s="16" t="s">
        <v>3</v>
      </c>
      <c r="AL561" s="65" t="s">
        <v>3842</v>
      </c>
      <c r="AM561" s="31" t="s">
        <v>1176</v>
      </c>
    </row>
    <row r="562" spans="2:39" x14ac:dyDescent="0.25">
      <c r="B562" s="18" t="s">
        <v>3176</v>
      </c>
      <c r="C562" s="44" t="s">
        <v>1783</v>
      </c>
      <c r="D562" s="20" t="s">
        <v>1784</v>
      </c>
      <c r="E562" s="67" t="s">
        <v>3</v>
      </c>
      <c r="F562" s="51" t="s">
        <v>3</v>
      </c>
      <c r="G562" s="37" t="s">
        <v>2715</v>
      </c>
      <c r="H562" s="68" t="s">
        <v>3842</v>
      </c>
      <c r="I562" s="62" t="s">
        <v>10</v>
      </c>
      <c r="J562" s="61" t="s">
        <v>250</v>
      </c>
      <c r="K562" s="4">
        <v>4995300</v>
      </c>
      <c r="L562" s="39">
        <v>109.30500000000001</v>
      </c>
      <c r="M562" s="4">
        <v>5465250</v>
      </c>
      <c r="N562" s="4">
        <v>5000000</v>
      </c>
      <c r="O562" s="4">
        <v>4996985</v>
      </c>
      <c r="P562" s="4">
        <v>0</v>
      </c>
      <c r="Q562" s="4">
        <v>869</v>
      </c>
      <c r="R562" s="4">
        <v>0</v>
      </c>
      <c r="S562" s="4">
        <v>0</v>
      </c>
      <c r="T562" s="23">
        <v>3.65</v>
      </c>
      <c r="U562" s="23">
        <v>3.67</v>
      </c>
      <c r="V562" s="5" t="s">
        <v>12</v>
      </c>
      <c r="W562" s="4">
        <v>52215</v>
      </c>
      <c r="X562" s="4">
        <v>182500</v>
      </c>
      <c r="Y562" s="11">
        <v>43521</v>
      </c>
      <c r="Z562" s="11">
        <v>45369</v>
      </c>
      <c r="AA562" s="2"/>
      <c r="AB562" s="63" t="s">
        <v>3840</v>
      </c>
      <c r="AC562" s="5" t="s">
        <v>4198</v>
      </c>
      <c r="AD562" s="2"/>
      <c r="AE562" s="11">
        <v>45340</v>
      </c>
      <c r="AF562" s="23">
        <v>100</v>
      </c>
      <c r="AG562" s="6"/>
      <c r="AH562" s="5" t="s">
        <v>1434</v>
      </c>
      <c r="AI562" s="5" t="s">
        <v>1784</v>
      </c>
      <c r="AJ562" s="5" t="s">
        <v>3</v>
      </c>
      <c r="AK562" s="16" t="s">
        <v>3</v>
      </c>
      <c r="AL562" s="65" t="s">
        <v>3842</v>
      </c>
      <c r="AM562" s="31" t="s">
        <v>1176</v>
      </c>
    </row>
    <row r="563" spans="2:39" x14ac:dyDescent="0.25">
      <c r="B563" s="18" t="s">
        <v>4308</v>
      </c>
      <c r="C563" s="44" t="s">
        <v>4309</v>
      </c>
      <c r="D563" s="20" t="s">
        <v>1784</v>
      </c>
      <c r="E563" s="67" t="s">
        <v>3</v>
      </c>
      <c r="F563" s="51" t="s">
        <v>3</v>
      </c>
      <c r="G563" s="37" t="s">
        <v>2715</v>
      </c>
      <c r="H563" s="68" t="s">
        <v>3842</v>
      </c>
      <c r="I563" s="62" t="s">
        <v>10</v>
      </c>
      <c r="J563" s="61" t="s">
        <v>250</v>
      </c>
      <c r="K563" s="4">
        <v>4995950</v>
      </c>
      <c r="L563" s="39">
        <v>106.3</v>
      </c>
      <c r="M563" s="4">
        <v>5315000</v>
      </c>
      <c r="N563" s="4">
        <v>5000000</v>
      </c>
      <c r="O563" s="4">
        <v>4997058</v>
      </c>
      <c r="P563" s="4">
        <v>0</v>
      </c>
      <c r="Q563" s="4">
        <v>790</v>
      </c>
      <c r="R563" s="4">
        <v>0</v>
      </c>
      <c r="S563" s="4">
        <v>0</v>
      </c>
      <c r="T563" s="23">
        <v>2.5</v>
      </c>
      <c r="U563" s="23">
        <v>2.5169999999999999</v>
      </c>
      <c r="V563" s="5" t="s">
        <v>12</v>
      </c>
      <c r="W563" s="4">
        <v>41667</v>
      </c>
      <c r="X563" s="4">
        <v>132986</v>
      </c>
      <c r="Y563" s="11">
        <v>43678</v>
      </c>
      <c r="Z563" s="11">
        <v>45536</v>
      </c>
      <c r="AA563" s="2"/>
      <c r="AB563" s="63" t="s">
        <v>3840</v>
      </c>
      <c r="AC563" s="5" t="s">
        <v>4198</v>
      </c>
      <c r="AD563" s="2"/>
      <c r="AE563" s="11">
        <v>45505</v>
      </c>
      <c r="AF563" s="23">
        <v>100</v>
      </c>
      <c r="AG563" s="6"/>
      <c r="AH563" s="5" t="s">
        <v>1434</v>
      </c>
      <c r="AI563" s="5" t="s">
        <v>1784</v>
      </c>
      <c r="AJ563" s="5" t="s">
        <v>3</v>
      </c>
      <c r="AK563" s="16" t="s">
        <v>3</v>
      </c>
      <c r="AL563" s="65" t="s">
        <v>3842</v>
      </c>
      <c r="AM563" s="31" t="s">
        <v>1176</v>
      </c>
    </row>
    <row r="564" spans="2:39" x14ac:dyDescent="0.25">
      <c r="B564" s="18" t="s">
        <v>1785</v>
      </c>
      <c r="C564" s="44" t="s">
        <v>3177</v>
      </c>
      <c r="D564" s="20" t="s">
        <v>1784</v>
      </c>
      <c r="E564" s="67" t="s">
        <v>3</v>
      </c>
      <c r="F564" s="51" t="s">
        <v>3</v>
      </c>
      <c r="G564" s="37" t="s">
        <v>2715</v>
      </c>
      <c r="H564" s="68" t="s">
        <v>3842</v>
      </c>
      <c r="I564" s="62" t="s">
        <v>10</v>
      </c>
      <c r="J564" s="61" t="s">
        <v>250</v>
      </c>
      <c r="K564" s="4">
        <v>8599381</v>
      </c>
      <c r="L564" s="39">
        <v>109.879</v>
      </c>
      <c r="M564" s="4">
        <v>9119957</v>
      </c>
      <c r="N564" s="4">
        <v>8300000</v>
      </c>
      <c r="O564" s="4">
        <v>8562816</v>
      </c>
      <c r="P564" s="4">
        <v>0</v>
      </c>
      <c r="Q564" s="4">
        <v>-36565</v>
      </c>
      <c r="R564" s="4">
        <v>0</v>
      </c>
      <c r="S564" s="4">
        <v>0</v>
      </c>
      <c r="T564" s="23">
        <v>2.9</v>
      </c>
      <c r="U564" s="23">
        <v>2.3090000000000002</v>
      </c>
      <c r="V564" s="5" t="s">
        <v>3844</v>
      </c>
      <c r="W564" s="4">
        <v>20058</v>
      </c>
      <c r="X564" s="4">
        <v>252066</v>
      </c>
      <c r="Y564" s="11">
        <v>43873</v>
      </c>
      <c r="Z564" s="11">
        <v>46357</v>
      </c>
      <c r="AA564" s="2"/>
      <c r="AB564" s="63" t="s">
        <v>3840</v>
      </c>
      <c r="AC564" s="5" t="s">
        <v>4198</v>
      </c>
      <c r="AD564" s="2"/>
      <c r="AE564" s="11">
        <v>46296</v>
      </c>
      <c r="AF564" s="23">
        <v>100</v>
      </c>
      <c r="AG564" s="10">
        <v>46296</v>
      </c>
      <c r="AH564" s="5" t="s">
        <v>1434</v>
      </c>
      <c r="AI564" s="5" t="s">
        <v>1784</v>
      </c>
      <c r="AJ564" s="5" t="s">
        <v>3</v>
      </c>
      <c r="AK564" s="16" t="s">
        <v>3</v>
      </c>
      <c r="AL564" s="65" t="s">
        <v>3842</v>
      </c>
      <c r="AM564" s="31" t="s">
        <v>1176</v>
      </c>
    </row>
    <row r="565" spans="2:39" x14ac:dyDescent="0.25">
      <c r="B565" s="18" t="s">
        <v>2869</v>
      </c>
      <c r="C565" s="44" t="s">
        <v>2086</v>
      </c>
      <c r="D565" s="20" t="s">
        <v>3178</v>
      </c>
      <c r="E565" s="67" t="s">
        <v>3</v>
      </c>
      <c r="F565" s="51" t="s">
        <v>3</v>
      </c>
      <c r="G565" s="37" t="s">
        <v>2715</v>
      </c>
      <c r="H565" s="68" t="s">
        <v>3842</v>
      </c>
      <c r="I565" s="62" t="s">
        <v>1157</v>
      </c>
      <c r="J565" s="61" t="s">
        <v>250</v>
      </c>
      <c r="K565" s="4">
        <v>10706000</v>
      </c>
      <c r="L565" s="39">
        <v>114.759</v>
      </c>
      <c r="M565" s="4">
        <v>11475900</v>
      </c>
      <c r="N565" s="4">
        <v>10000000</v>
      </c>
      <c r="O565" s="4">
        <v>10656337</v>
      </c>
      <c r="P565" s="4">
        <v>0</v>
      </c>
      <c r="Q565" s="4">
        <v>-49663</v>
      </c>
      <c r="R565" s="4">
        <v>0</v>
      </c>
      <c r="S565" s="4">
        <v>0</v>
      </c>
      <c r="T565" s="23">
        <v>4.2</v>
      </c>
      <c r="U565" s="23">
        <v>3.1080000000000001</v>
      </c>
      <c r="V565" s="5" t="s">
        <v>12</v>
      </c>
      <c r="W565" s="4">
        <v>123667</v>
      </c>
      <c r="X565" s="4">
        <v>210000</v>
      </c>
      <c r="Y565" s="11">
        <v>43985</v>
      </c>
      <c r="Z565" s="11">
        <v>46827</v>
      </c>
      <c r="AA565" s="2"/>
      <c r="AB565" s="63" t="s">
        <v>3840</v>
      </c>
      <c r="AC565" s="5" t="s">
        <v>4198</v>
      </c>
      <c r="AD565" s="2"/>
      <c r="AE565" s="11">
        <v>46645</v>
      </c>
      <c r="AF565" s="23">
        <v>100</v>
      </c>
      <c r="AG565" s="11">
        <v>46645</v>
      </c>
      <c r="AH565" s="5" t="s">
        <v>1225</v>
      </c>
      <c r="AI565" s="5" t="s">
        <v>3178</v>
      </c>
      <c r="AJ565" s="5" t="s">
        <v>3</v>
      </c>
      <c r="AK565" s="16" t="s">
        <v>3</v>
      </c>
      <c r="AL565" s="65" t="s">
        <v>2715</v>
      </c>
      <c r="AM565" s="31" t="s">
        <v>926</v>
      </c>
    </row>
    <row r="566" spans="2:39" x14ac:dyDescent="0.25">
      <c r="B566" s="18" t="s">
        <v>3976</v>
      </c>
      <c r="C566" s="44" t="s">
        <v>3977</v>
      </c>
      <c r="D566" s="20" t="s">
        <v>3397</v>
      </c>
      <c r="E566" s="67" t="s">
        <v>3</v>
      </c>
      <c r="F566" s="51" t="s">
        <v>3</v>
      </c>
      <c r="G566" s="37" t="s">
        <v>2715</v>
      </c>
      <c r="H566" s="68" t="s">
        <v>3842</v>
      </c>
      <c r="I566" s="62" t="s">
        <v>3310</v>
      </c>
      <c r="J566" s="61" t="s">
        <v>250</v>
      </c>
      <c r="K566" s="4">
        <v>5099600</v>
      </c>
      <c r="L566" s="39">
        <v>108.732</v>
      </c>
      <c r="M566" s="4">
        <v>5436600</v>
      </c>
      <c r="N566" s="4">
        <v>5000000</v>
      </c>
      <c r="O566" s="4">
        <v>5091432</v>
      </c>
      <c r="P566" s="4">
        <v>0</v>
      </c>
      <c r="Q566" s="4">
        <v>-8168</v>
      </c>
      <c r="R566" s="4">
        <v>0</v>
      </c>
      <c r="S566" s="4">
        <v>0</v>
      </c>
      <c r="T566" s="23">
        <v>3.2440000000000002</v>
      </c>
      <c r="U566" s="23">
        <v>2.8879999999999999</v>
      </c>
      <c r="V566" s="5" t="s">
        <v>3843</v>
      </c>
      <c r="W566" s="4">
        <v>38748</v>
      </c>
      <c r="X566" s="4">
        <v>81100</v>
      </c>
      <c r="Y566" s="11">
        <v>43985</v>
      </c>
      <c r="Z566" s="11">
        <v>46300</v>
      </c>
      <c r="AA566" s="2"/>
      <c r="AB566" s="63" t="s">
        <v>3840</v>
      </c>
      <c r="AC566" s="5" t="s">
        <v>4198</v>
      </c>
      <c r="AD566" s="2"/>
      <c r="AE566" s="11">
        <v>46239</v>
      </c>
      <c r="AF566" s="23">
        <v>100</v>
      </c>
      <c r="AG566" s="11">
        <v>46239</v>
      </c>
      <c r="AH566" s="5" t="s">
        <v>3</v>
      </c>
      <c r="AI566" s="5" t="s">
        <v>3397</v>
      </c>
      <c r="AJ566" s="5" t="s">
        <v>3</v>
      </c>
      <c r="AK566" s="16" t="s">
        <v>3</v>
      </c>
      <c r="AL566" s="65" t="s">
        <v>3842</v>
      </c>
      <c r="AM566" s="31" t="s">
        <v>1651</v>
      </c>
    </row>
    <row r="567" spans="2:39" x14ac:dyDescent="0.25">
      <c r="B567" s="18" t="s">
        <v>1016</v>
      </c>
      <c r="C567" s="44" t="s">
        <v>3398</v>
      </c>
      <c r="D567" s="20" t="s">
        <v>1786</v>
      </c>
      <c r="E567" s="67" t="s">
        <v>3</v>
      </c>
      <c r="F567" s="51" t="s">
        <v>3</v>
      </c>
      <c r="G567" s="37" t="s">
        <v>3</v>
      </c>
      <c r="H567" s="68" t="s">
        <v>2715</v>
      </c>
      <c r="I567" s="62" t="s">
        <v>3538</v>
      </c>
      <c r="J567" s="61" t="s">
        <v>250</v>
      </c>
      <c r="K567" s="4">
        <v>480253</v>
      </c>
      <c r="L567" s="39">
        <v>160.07599999999999</v>
      </c>
      <c r="M567" s="4">
        <v>672319</v>
      </c>
      <c r="N567" s="4">
        <v>420000</v>
      </c>
      <c r="O567" s="4">
        <v>471525</v>
      </c>
      <c r="P567" s="4">
        <v>0</v>
      </c>
      <c r="Q567" s="4">
        <v>-1858</v>
      </c>
      <c r="R567" s="4">
        <v>0</v>
      </c>
      <c r="S567" s="4">
        <v>0</v>
      </c>
      <c r="T567" s="23">
        <v>6.55</v>
      </c>
      <c r="U567" s="23">
        <v>5.4240000000000004</v>
      </c>
      <c r="V567" s="5" t="s">
        <v>12</v>
      </c>
      <c r="W567" s="4">
        <v>8100</v>
      </c>
      <c r="X567" s="4">
        <v>27510</v>
      </c>
      <c r="Y567" s="11">
        <v>42277</v>
      </c>
      <c r="Z567" s="11">
        <v>50298</v>
      </c>
      <c r="AA567" s="2"/>
      <c r="AB567" s="63" t="s">
        <v>3840</v>
      </c>
      <c r="AC567" s="5" t="s">
        <v>4198</v>
      </c>
      <c r="AD567" s="2"/>
      <c r="AE567" s="9"/>
      <c r="AF567" s="23"/>
      <c r="AG567" s="9"/>
      <c r="AH567" s="5" t="s">
        <v>1435</v>
      </c>
      <c r="AI567" s="5" t="s">
        <v>1786</v>
      </c>
      <c r="AJ567" s="5" t="s">
        <v>3</v>
      </c>
      <c r="AK567" s="16" t="s">
        <v>3</v>
      </c>
      <c r="AL567" s="65" t="s">
        <v>3842</v>
      </c>
      <c r="AM567" s="31" t="s">
        <v>1161</v>
      </c>
    </row>
    <row r="568" spans="2:39" x14ac:dyDescent="0.25">
      <c r="B568" s="18" t="s">
        <v>2087</v>
      </c>
      <c r="C568" s="44" t="s">
        <v>365</v>
      </c>
      <c r="D568" s="20" t="s">
        <v>3978</v>
      </c>
      <c r="E568" s="67" t="s">
        <v>3</v>
      </c>
      <c r="F568" s="51" t="s">
        <v>3</v>
      </c>
      <c r="G568" s="37" t="s">
        <v>2715</v>
      </c>
      <c r="H568" s="68" t="s">
        <v>3842</v>
      </c>
      <c r="I568" s="62" t="s">
        <v>3310</v>
      </c>
      <c r="J568" s="61" t="s">
        <v>250</v>
      </c>
      <c r="K568" s="4">
        <v>4989600</v>
      </c>
      <c r="L568" s="39">
        <v>109.093</v>
      </c>
      <c r="M568" s="4">
        <v>5454650</v>
      </c>
      <c r="N568" s="4">
        <v>5000000</v>
      </c>
      <c r="O568" s="4">
        <v>4993010</v>
      </c>
      <c r="P568" s="4">
        <v>0</v>
      </c>
      <c r="Q568" s="4">
        <v>1932</v>
      </c>
      <c r="R568" s="4">
        <v>0</v>
      </c>
      <c r="S568" s="4">
        <v>0</v>
      </c>
      <c r="T568" s="23">
        <v>3.75</v>
      </c>
      <c r="U568" s="23">
        <v>3.7949999999999999</v>
      </c>
      <c r="V568" s="5" t="s">
        <v>3312</v>
      </c>
      <c r="W568" s="4">
        <v>31250</v>
      </c>
      <c r="X568" s="4">
        <v>187500</v>
      </c>
      <c r="Y568" s="11">
        <v>43493</v>
      </c>
      <c r="Z568" s="11">
        <v>45413</v>
      </c>
      <c r="AA568" s="2"/>
      <c r="AB568" s="63" t="s">
        <v>3840</v>
      </c>
      <c r="AC568" s="5" t="s">
        <v>4198</v>
      </c>
      <c r="AD568" s="2"/>
      <c r="AE568" s="11">
        <v>45383</v>
      </c>
      <c r="AF568" s="23">
        <v>100</v>
      </c>
      <c r="AG568" s="6"/>
      <c r="AH568" s="5" t="s">
        <v>676</v>
      </c>
      <c r="AI568" s="5" t="s">
        <v>2303</v>
      </c>
      <c r="AJ568" s="5" t="s">
        <v>928</v>
      </c>
      <c r="AK568" s="16" t="s">
        <v>3</v>
      </c>
      <c r="AL568" s="65" t="s">
        <v>3842</v>
      </c>
      <c r="AM568" s="31" t="s">
        <v>1651</v>
      </c>
    </row>
    <row r="569" spans="2:39" x14ac:dyDescent="0.25">
      <c r="B569" s="18" t="s">
        <v>3179</v>
      </c>
      <c r="C569" s="44" t="s">
        <v>3399</v>
      </c>
      <c r="D569" s="20" t="s">
        <v>677</v>
      </c>
      <c r="E569" s="67" t="s">
        <v>3</v>
      </c>
      <c r="F569" s="51" t="s">
        <v>3</v>
      </c>
      <c r="G569" s="37" t="s">
        <v>2715</v>
      </c>
      <c r="H569" s="68" t="s">
        <v>2715</v>
      </c>
      <c r="I569" s="62" t="s">
        <v>252</v>
      </c>
      <c r="J569" s="61" t="s">
        <v>250</v>
      </c>
      <c r="K569" s="4">
        <v>4996650</v>
      </c>
      <c r="L569" s="39">
        <v>113.76900000000001</v>
      </c>
      <c r="M569" s="4">
        <v>5688450</v>
      </c>
      <c r="N569" s="4">
        <v>5000000</v>
      </c>
      <c r="O569" s="4">
        <v>4997792</v>
      </c>
      <c r="P569" s="4">
        <v>0</v>
      </c>
      <c r="Q569" s="4">
        <v>453</v>
      </c>
      <c r="R569" s="4">
        <v>0</v>
      </c>
      <c r="S569" s="4">
        <v>0</v>
      </c>
      <c r="T569" s="23">
        <v>3.85</v>
      </c>
      <c r="U569" s="23">
        <v>3.8610000000000002</v>
      </c>
      <c r="V569" s="5" t="s">
        <v>3312</v>
      </c>
      <c r="W569" s="4">
        <v>21389</v>
      </c>
      <c r="X569" s="4">
        <v>192500</v>
      </c>
      <c r="Y569" s="11">
        <v>43237</v>
      </c>
      <c r="Z569" s="11">
        <v>45798</v>
      </c>
      <c r="AA569" s="2"/>
      <c r="AB569" s="63" t="s">
        <v>3840</v>
      </c>
      <c r="AC569" s="5" t="s">
        <v>4198</v>
      </c>
      <c r="AD569" s="2"/>
      <c r="AE569" s="11">
        <v>45737</v>
      </c>
      <c r="AF569" s="23">
        <v>100</v>
      </c>
      <c r="AG569" s="9"/>
      <c r="AH569" s="5" t="s">
        <v>3</v>
      </c>
      <c r="AI569" s="5" t="s">
        <v>3400</v>
      </c>
      <c r="AJ569" s="5" t="s">
        <v>2532</v>
      </c>
      <c r="AK569" s="16" t="s">
        <v>3</v>
      </c>
      <c r="AL569" s="65" t="s">
        <v>3842</v>
      </c>
      <c r="AM569" s="31" t="s">
        <v>898</v>
      </c>
    </row>
    <row r="570" spans="2:39" x14ac:dyDescent="0.25">
      <c r="B570" s="18" t="s">
        <v>4310</v>
      </c>
      <c r="C570" s="44" t="s">
        <v>3401</v>
      </c>
      <c r="D570" s="20" t="s">
        <v>677</v>
      </c>
      <c r="E570" s="67" t="s">
        <v>3</v>
      </c>
      <c r="F570" s="51" t="s">
        <v>3</v>
      </c>
      <c r="G570" s="37" t="s">
        <v>2715</v>
      </c>
      <c r="H570" s="68" t="s">
        <v>2715</v>
      </c>
      <c r="I570" s="62" t="s">
        <v>252</v>
      </c>
      <c r="J570" s="61" t="s">
        <v>250</v>
      </c>
      <c r="K570" s="4">
        <v>14979150</v>
      </c>
      <c r="L570" s="39">
        <v>109.124</v>
      </c>
      <c r="M570" s="4">
        <v>16368600</v>
      </c>
      <c r="N570" s="4">
        <v>15000000</v>
      </c>
      <c r="O570" s="4">
        <v>14986939</v>
      </c>
      <c r="P570" s="4">
        <v>0</v>
      </c>
      <c r="Q570" s="4">
        <v>3939</v>
      </c>
      <c r="R570" s="4">
        <v>0</v>
      </c>
      <c r="S570" s="4">
        <v>0</v>
      </c>
      <c r="T570" s="23">
        <v>3.55</v>
      </c>
      <c r="U570" s="23">
        <v>3.58</v>
      </c>
      <c r="V570" s="5" t="s">
        <v>248</v>
      </c>
      <c r="W570" s="4">
        <v>221875</v>
      </c>
      <c r="X570" s="4">
        <v>532500</v>
      </c>
      <c r="Y570" s="11">
        <v>43402</v>
      </c>
      <c r="Z570" s="11">
        <v>45323</v>
      </c>
      <c r="AA570" s="2"/>
      <c r="AB570" s="63" t="s">
        <v>3840</v>
      </c>
      <c r="AC570" s="5" t="s">
        <v>4198</v>
      </c>
      <c r="AD570" s="2"/>
      <c r="AE570" s="10">
        <v>45292</v>
      </c>
      <c r="AF570" s="23">
        <v>100</v>
      </c>
      <c r="AG570" s="6"/>
      <c r="AH570" s="5" t="s">
        <v>3</v>
      </c>
      <c r="AI570" s="5" t="s">
        <v>3400</v>
      </c>
      <c r="AJ570" s="5" t="s">
        <v>2532</v>
      </c>
      <c r="AK570" s="16" t="s">
        <v>3</v>
      </c>
      <c r="AL570" s="65" t="s">
        <v>3842</v>
      </c>
      <c r="AM570" s="31" t="s">
        <v>898</v>
      </c>
    </row>
    <row r="571" spans="2:39" x14ac:dyDescent="0.25">
      <c r="B571" s="18" t="s">
        <v>1017</v>
      </c>
      <c r="C571" s="44" t="s">
        <v>3979</v>
      </c>
      <c r="D571" s="20" t="s">
        <v>677</v>
      </c>
      <c r="E571" s="67" t="s">
        <v>3</v>
      </c>
      <c r="F571" s="51" t="s">
        <v>3</v>
      </c>
      <c r="G571" s="37" t="s">
        <v>2715</v>
      </c>
      <c r="H571" s="68" t="s">
        <v>2715</v>
      </c>
      <c r="I571" s="62" t="s">
        <v>252</v>
      </c>
      <c r="J571" s="61" t="s">
        <v>250</v>
      </c>
      <c r="K571" s="4">
        <v>4497570</v>
      </c>
      <c r="L571" s="39">
        <v>114.65300000000001</v>
      </c>
      <c r="M571" s="4">
        <v>5159385</v>
      </c>
      <c r="N571" s="4">
        <v>4500000</v>
      </c>
      <c r="O571" s="4">
        <v>4497912</v>
      </c>
      <c r="P571" s="4">
        <v>0</v>
      </c>
      <c r="Q571" s="4">
        <v>342</v>
      </c>
      <c r="R571" s="4">
        <v>0</v>
      </c>
      <c r="S571" s="4">
        <v>0</v>
      </c>
      <c r="T571" s="23">
        <v>4.2</v>
      </c>
      <c r="U571" s="23">
        <v>4.2119999999999997</v>
      </c>
      <c r="V571" s="5" t="s">
        <v>12</v>
      </c>
      <c r="W571" s="4">
        <v>50925</v>
      </c>
      <c r="X571" s="4">
        <v>94500</v>
      </c>
      <c r="Y571" s="11">
        <v>43910</v>
      </c>
      <c r="Z571" s="11">
        <v>45740</v>
      </c>
      <c r="AA571" s="2"/>
      <c r="AB571" s="63" t="s">
        <v>3840</v>
      </c>
      <c r="AC571" s="5" t="s">
        <v>4198</v>
      </c>
      <c r="AD571" s="2"/>
      <c r="AE571" s="11">
        <v>45710</v>
      </c>
      <c r="AF571" s="23">
        <v>100</v>
      </c>
      <c r="AG571" s="6"/>
      <c r="AH571" s="5" t="s">
        <v>3</v>
      </c>
      <c r="AI571" s="5" t="s">
        <v>3400</v>
      </c>
      <c r="AJ571" s="5" t="s">
        <v>2532</v>
      </c>
      <c r="AK571" s="16" t="s">
        <v>3</v>
      </c>
      <c r="AL571" s="65" t="s">
        <v>3842</v>
      </c>
      <c r="AM571" s="31" t="s">
        <v>898</v>
      </c>
    </row>
    <row r="572" spans="2:39" x14ac:dyDescent="0.25">
      <c r="B572" s="18" t="s">
        <v>2088</v>
      </c>
      <c r="C572" s="44" t="s">
        <v>98</v>
      </c>
      <c r="D572" s="20" t="s">
        <v>3402</v>
      </c>
      <c r="E572" s="67" t="s">
        <v>3</v>
      </c>
      <c r="F572" s="51" t="s">
        <v>3</v>
      </c>
      <c r="G572" s="37" t="s">
        <v>3842</v>
      </c>
      <c r="H572" s="68" t="s">
        <v>3842</v>
      </c>
      <c r="I572" s="62" t="s">
        <v>1157</v>
      </c>
      <c r="J572" s="61" t="s">
        <v>250</v>
      </c>
      <c r="K572" s="4">
        <v>1989540</v>
      </c>
      <c r="L572" s="39">
        <v>108.08499999999999</v>
      </c>
      <c r="M572" s="4">
        <v>2161700</v>
      </c>
      <c r="N572" s="4">
        <v>2000000</v>
      </c>
      <c r="O572" s="4">
        <v>1992937</v>
      </c>
      <c r="P572" s="4">
        <v>0</v>
      </c>
      <c r="Q572" s="4">
        <v>1925</v>
      </c>
      <c r="R572" s="4">
        <v>0</v>
      </c>
      <c r="S572" s="4">
        <v>0</v>
      </c>
      <c r="T572" s="23">
        <v>3.125</v>
      </c>
      <c r="U572" s="23">
        <v>3.2349999999999999</v>
      </c>
      <c r="V572" s="5" t="s">
        <v>3844</v>
      </c>
      <c r="W572" s="4">
        <v>5208</v>
      </c>
      <c r="X572" s="4">
        <v>62500</v>
      </c>
      <c r="Y572" s="11">
        <v>43553</v>
      </c>
      <c r="Z572" s="11">
        <v>45444</v>
      </c>
      <c r="AA572" s="2"/>
      <c r="AB572" s="63" t="s">
        <v>3840</v>
      </c>
      <c r="AC572" s="5" t="s">
        <v>4198</v>
      </c>
      <c r="AD572" s="2"/>
      <c r="AE572" s="11">
        <v>45383</v>
      </c>
      <c r="AF572" s="23">
        <v>100</v>
      </c>
      <c r="AG572" s="6"/>
      <c r="AH572" s="5" t="s">
        <v>2304</v>
      </c>
      <c r="AI572" s="5" t="s">
        <v>3402</v>
      </c>
      <c r="AJ572" s="5" t="s">
        <v>3</v>
      </c>
      <c r="AK572" s="16" t="s">
        <v>3</v>
      </c>
      <c r="AL572" s="65" t="s">
        <v>3842</v>
      </c>
      <c r="AM572" s="31" t="s">
        <v>926</v>
      </c>
    </row>
    <row r="573" spans="2:39" x14ac:dyDescent="0.25">
      <c r="B573" s="18" t="s">
        <v>3180</v>
      </c>
      <c r="C573" s="44" t="s">
        <v>4311</v>
      </c>
      <c r="D573" s="20" t="s">
        <v>1436</v>
      </c>
      <c r="E573" s="67" t="s">
        <v>3</v>
      </c>
      <c r="F573" s="51" t="s">
        <v>3</v>
      </c>
      <c r="G573" s="37" t="s">
        <v>2715</v>
      </c>
      <c r="H573" s="68" t="s">
        <v>929</v>
      </c>
      <c r="I573" s="62" t="s">
        <v>1157</v>
      </c>
      <c r="J573" s="61" t="s">
        <v>250</v>
      </c>
      <c r="K573" s="4">
        <v>4000000</v>
      </c>
      <c r="L573" s="39">
        <v>103.65900000000001</v>
      </c>
      <c r="M573" s="4">
        <v>4146360</v>
      </c>
      <c r="N573" s="4">
        <v>4000000</v>
      </c>
      <c r="O573" s="4">
        <v>4000000</v>
      </c>
      <c r="P573" s="4">
        <v>0</v>
      </c>
      <c r="Q573" s="4">
        <v>0</v>
      </c>
      <c r="R573" s="4">
        <v>0</v>
      </c>
      <c r="S573" s="4">
        <v>0</v>
      </c>
      <c r="T573" s="23">
        <v>4.625</v>
      </c>
      <c r="U573" s="23">
        <v>4.625</v>
      </c>
      <c r="V573" s="5" t="s">
        <v>1982</v>
      </c>
      <c r="W573" s="4">
        <v>85306</v>
      </c>
      <c r="X573" s="4">
        <v>191681</v>
      </c>
      <c r="Y573" s="11">
        <v>43634</v>
      </c>
      <c r="Z573" s="11">
        <v>45488</v>
      </c>
      <c r="AA573" s="2"/>
      <c r="AB573" s="63" t="s">
        <v>3840</v>
      </c>
      <c r="AC573" s="5" t="s">
        <v>4198</v>
      </c>
      <c r="AD573" s="2"/>
      <c r="AE573" s="11">
        <v>44392</v>
      </c>
      <c r="AF573" s="23">
        <v>102.313</v>
      </c>
      <c r="AG573" s="9"/>
      <c r="AH573" s="5" t="s">
        <v>3639</v>
      </c>
      <c r="AI573" s="5" t="s">
        <v>3980</v>
      </c>
      <c r="AJ573" s="5" t="s">
        <v>928</v>
      </c>
      <c r="AK573" s="16" t="s">
        <v>3</v>
      </c>
      <c r="AL573" s="65" t="s">
        <v>3842</v>
      </c>
      <c r="AM573" s="31" t="s">
        <v>276</v>
      </c>
    </row>
    <row r="574" spans="2:39" x14ac:dyDescent="0.25">
      <c r="B574" s="18" t="s">
        <v>366</v>
      </c>
      <c r="C574" s="44" t="s">
        <v>2305</v>
      </c>
      <c r="D574" s="20" t="s">
        <v>2089</v>
      </c>
      <c r="E574" s="67" t="s">
        <v>3</v>
      </c>
      <c r="F574" s="51" t="s">
        <v>3</v>
      </c>
      <c r="G574" s="37" t="s">
        <v>3842</v>
      </c>
      <c r="H574" s="68" t="s">
        <v>3842</v>
      </c>
      <c r="I574" s="62" t="s">
        <v>1157</v>
      </c>
      <c r="J574" s="61" t="s">
        <v>250</v>
      </c>
      <c r="K574" s="4">
        <v>4965205</v>
      </c>
      <c r="L574" s="39">
        <v>101.434</v>
      </c>
      <c r="M574" s="4">
        <v>5071700</v>
      </c>
      <c r="N574" s="4">
        <v>5000000</v>
      </c>
      <c r="O574" s="4">
        <v>4987012</v>
      </c>
      <c r="P574" s="4">
        <v>0</v>
      </c>
      <c r="Q574" s="4">
        <v>11506</v>
      </c>
      <c r="R574" s="4">
        <v>0</v>
      </c>
      <c r="S574" s="4">
        <v>0</v>
      </c>
      <c r="T574" s="23">
        <v>3.35</v>
      </c>
      <c r="U574" s="23">
        <v>3.5960000000000001</v>
      </c>
      <c r="V574" s="5" t="s">
        <v>248</v>
      </c>
      <c r="W574" s="4">
        <v>69792</v>
      </c>
      <c r="X574" s="4">
        <v>167500</v>
      </c>
      <c r="Y574" s="11">
        <v>43553</v>
      </c>
      <c r="Z574" s="11">
        <v>44593</v>
      </c>
      <c r="AA574" s="2"/>
      <c r="AB574" s="63" t="s">
        <v>3840</v>
      </c>
      <c r="AC574" s="5" t="s">
        <v>4198</v>
      </c>
      <c r="AD574" s="2"/>
      <c r="AE574" s="10">
        <v>44562</v>
      </c>
      <c r="AF574" s="23">
        <v>100</v>
      </c>
      <c r="AG574" s="6"/>
      <c r="AH574" s="5" t="s">
        <v>3</v>
      </c>
      <c r="AI574" s="5" t="s">
        <v>2089</v>
      </c>
      <c r="AJ574" s="5" t="s">
        <v>3</v>
      </c>
      <c r="AK574" s="16" t="s">
        <v>3</v>
      </c>
      <c r="AL574" s="65" t="s">
        <v>3842</v>
      </c>
      <c r="AM574" s="31" t="s">
        <v>926</v>
      </c>
    </row>
    <row r="575" spans="2:39" x14ac:dyDescent="0.25">
      <c r="B575" s="18" t="s">
        <v>1437</v>
      </c>
      <c r="C575" s="44" t="s">
        <v>99</v>
      </c>
      <c r="D575" s="20" t="s">
        <v>3981</v>
      </c>
      <c r="E575" s="67" t="s">
        <v>3</v>
      </c>
      <c r="F575" s="51" t="s">
        <v>3</v>
      </c>
      <c r="G575" s="37" t="s">
        <v>3</v>
      </c>
      <c r="H575" s="68" t="s">
        <v>3842</v>
      </c>
      <c r="I575" s="62" t="s">
        <v>1157</v>
      </c>
      <c r="J575" s="61" t="s">
        <v>3</v>
      </c>
      <c r="K575" s="4">
        <v>3000000</v>
      </c>
      <c r="L575" s="39">
        <v>108.24299999999999</v>
      </c>
      <c r="M575" s="4">
        <v>3247290</v>
      </c>
      <c r="N575" s="4">
        <v>3000000</v>
      </c>
      <c r="O575" s="4">
        <v>3000000</v>
      </c>
      <c r="P575" s="4">
        <v>0</v>
      </c>
      <c r="Q575" s="4">
        <v>0</v>
      </c>
      <c r="R575" s="4">
        <v>0</v>
      </c>
      <c r="S575" s="4">
        <v>0</v>
      </c>
      <c r="T575" s="23">
        <v>3.47</v>
      </c>
      <c r="U575" s="23">
        <v>3.47</v>
      </c>
      <c r="V575" s="5" t="s">
        <v>248</v>
      </c>
      <c r="W575" s="4">
        <v>39038</v>
      </c>
      <c r="X575" s="4">
        <v>104100</v>
      </c>
      <c r="Y575" s="11">
        <v>42963</v>
      </c>
      <c r="Z575" s="11">
        <v>45520</v>
      </c>
      <c r="AA575" s="2"/>
      <c r="AB575" s="63" t="s">
        <v>1684</v>
      </c>
      <c r="AC575" s="5" t="s">
        <v>3</v>
      </c>
      <c r="AD575" s="2"/>
      <c r="AE575" s="6"/>
      <c r="AF575" s="23"/>
      <c r="AG575" s="6"/>
      <c r="AH575" s="5" t="s">
        <v>2870</v>
      </c>
      <c r="AI575" s="5" t="s">
        <v>2871</v>
      </c>
      <c r="AJ575" s="5" t="s">
        <v>2872</v>
      </c>
      <c r="AK575" s="16" t="s">
        <v>3</v>
      </c>
      <c r="AL575" s="65" t="s">
        <v>3842</v>
      </c>
      <c r="AM575" s="31" t="s">
        <v>2821</v>
      </c>
    </row>
    <row r="576" spans="2:39" x14ac:dyDescent="0.25">
      <c r="B576" s="18" t="s">
        <v>2533</v>
      </c>
      <c r="C576" s="44" t="s">
        <v>3181</v>
      </c>
      <c r="D576" s="20" t="s">
        <v>3981</v>
      </c>
      <c r="E576" s="67" t="s">
        <v>3</v>
      </c>
      <c r="F576" s="51" t="s">
        <v>3</v>
      </c>
      <c r="G576" s="37" t="s">
        <v>3</v>
      </c>
      <c r="H576" s="68" t="s">
        <v>3842</v>
      </c>
      <c r="I576" s="62" t="s">
        <v>1157</v>
      </c>
      <c r="J576" s="61" t="s">
        <v>3</v>
      </c>
      <c r="K576" s="4">
        <v>3000000</v>
      </c>
      <c r="L576" s="39">
        <v>109.39700000000001</v>
      </c>
      <c r="M576" s="4">
        <v>3281910</v>
      </c>
      <c r="N576" s="4">
        <v>3000000</v>
      </c>
      <c r="O576" s="4">
        <v>3000000</v>
      </c>
      <c r="P576" s="4">
        <v>0</v>
      </c>
      <c r="Q576" s="4">
        <v>0</v>
      </c>
      <c r="R576" s="4">
        <v>0</v>
      </c>
      <c r="S576" s="4">
        <v>0</v>
      </c>
      <c r="T576" s="23">
        <v>3.57</v>
      </c>
      <c r="U576" s="23">
        <v>3.57</v>
      </c>
      <c r="V576" s="5" t="s">
        <v>1982</v>
      </c>
      <c r="W576" s="4">
        <v>49088</v>
      </c>
      <c r="X576" s="4">
        <v>107100</v>
      </c>
      <c r="Y576" s="11">
        <v>43116</v>
      </c>
      <c r="Z576" s="11">
        <v>45673</v>
      </c>
      <c r="AA576" s="2"/>
      <c r="AB576" s="63" t="s">
        <v>1684</v>
      </c>
      <c r="AC576" s="5" t="s">
        <v>3</v>
      </c>
      <c r="AD576" s="2"/>
      <c r="AE576" s="6"/>
      <c r="AF576" s="23"/>
      <c r="AG576" s="6"/>
      <c r="AH576" s="5" t="s">
        <v>2870</v>
      </c>
      <c r="AI576" s="5" t="s">
        <v>2871</v>
      </c>
      <c r="AJ576" s="5" t="s">
        <v>2872</v>
      </c>
      <c r="AK576" s="16" t="s">
        <v>3</v>
      </c>
      <c r="AL576" s="65" t="s">
        <v>3842</v>
      </c>
      <c r="AM576" s="31" t="s">
        <v>2821</v>
      </c>
    </row>
    <row r="577" spans="2:39" x14ac:dyDescent="0.25">
      <c r="B577" s="18" t="s">
        <v>3640</v>
      </c>
      <c r="C577" s="44" t="s">
        <v>3641</v>
      </c>
      <c r="D577" s="20" t="s">
        <v>100</v>
      </c>
      <c r="E577" s="67" t="s">
        <v>3</v>
      </c>
      <c r="F577" s="51" t="s">
        <v>3</v>
      </c>
      <c r="G577" s="37" t="s">
        <v>2715</v>
      </c>
      <c r="H577" s="68" t="s">
        <v>929</v>
      </c>
      <c r="I577" s="62" t="s">
        <v>3310</v>
      </c>
      <c r="J577" s="61" t="s">
        <v>250</v>
      </c>
      <c r="K577" s="4">
        <v>4957800</v>
      </c>
      <c r="L577" s="39">
        <v>99.477000000000004</v>
      </c>
      <c r="M577" s="4">
        <v>4973850</v>
      </c>
      <c r="N577" s="4">
        <v>5000000</v>
      </c>
      <c r="O577" s="4">
        <v>4972560</v>
      </c>
      <c r="P577" s="4">
        <v>0</v>
      </c>
      <c r="Q577" s="4">
        <v>7198</v>
      </c>
      <c r="R577" s="4">
        <v>0</v>
      </c>
      <c r="S577" s="4">
        <v>0</v>
      </c>
      <c r="T577" s="23">
        <v>4.25</v>
      </c>
      <c r="U577" s="23">
        <v>4.423</v>
      </c>
      <c r="V577" s="5" t="s">
        <v>3844</v>
      </c>
      <c r="W577" s="4">
        <v>9444</v>
      </c>
      <c r="X577" s="4">
        <v>212500</v>
      </c>
      <c r="Y577" s="11">
        <v>43432</v>
      </c>
      <c r="Z577" s="11">
        <v>45458</v>
      </c>
      <c r="AA577" s="2"/>
      <c r="AB577" s="63" t="s">
        <v>3840</v>
      </c>
      <c r="AC577" s="5" t="s">
        <v>4198</v>
      </c>
      <c r="AD577" s="2"/>
      <c r="AE577" s="11">
        <v>45366</v>
      </c>
      <c r="AF577" s="23">
        <v>100</v>
      </c>
      <c r="AG577" s="6"/>
      <c r="AH577" s="5" t="s">
        <v>3</v>
      </c>
      <c r="AI577" s="5" t="s">
        <v>1018</v>
      </c>
      <c r="AJ577" s="5" t="s">
        <v>928</v>
      </c>
      <c r="AK577" s="16" t="s">
        <v>3</v>
      </c>
      <c r="AL577" s="65" t="s">
        <v>3842</v>
      </c>
      <c r="AM577" s="31" t="s">
        <v>933</v>
      </c>
    </row>
    <row r="578" spans="2:39" x14ac:dyDescent="0.25">
      <c r="B578" s="18" t="s">
        <v>367</v>
      </c>
      <c r="C578" s="44" t="s">
        <v>2306</v>
      </c>
      <c r="D578" s="20" t="s">
        <v>101</v>
      </c>
      <c r="E578" s="67" t="s">
        <v>3</v>
      </c>
      <c r="F578" s="51" t="s">
        <v>3</v>
      </c>
      <c r="G578" s="37" t="s">
        <v>3</v>
      </c>
      <c r="H578" s="68" t="s">
        <v>3842</v>
      </c>
      <c r="I578" s="62" t="s">
        <v>10</v>
      </c>
      <c r="J578" s="61" t="s">
        <v>3</v>
      </c>
      <c r="K578" s="4">
        <v>3000000</v>
      </c>
      <c r="L578" s="39">
        <v>101.10899999999999</v>
      </c>
      <c r="M578" s="4">
        <v>3033270</v>
      </c>
      <c r="N578" s="4">
        <v>3000000</v>
      </c>
      <c r="O578" s="4">
        <v>3000000</v>
      </c>
      <c r="P578" s="4">
        <v>0</v>
      </c>
      <c r="Q578" s="4">
        <v>0</v>
      </c>
      <c r="R578" s="4">
        <v>0</v>
      </c>
      <c r="S578" s="4">
        <v>0</v>
      </c>
      <c r="T578" s="23">
        <v>2.52</v>
      </c>
      <c r="U578" s="23">
        <v>2.52</v>
      </c>
      <c r="V578" s="5" t="s">
        <v>12</v>
      </c>
      <c r="W578" s="4">
        <v>25200</v>
      </c>
      <c r="X578" s="4">
        <v>75600</v>
      </c>
      <c r="Y578" s="11">
        <v>42622</v>
      </c>
      <c r="Z578" s="11">
        <v>44440</v>
      </c>
      <c r="AA578" s="2"/>
      <c r="AB578" s="63" t="s">
        <v>1684</v>
      </c>
      <c r="AC578" s="5" t="s">
        <v>3</v>
      </c>
      <c r="AD578" s="2"/>
      <c r="AE578" s="9"/>
      <c r="AF578" s="23"/>
      <c r="AG578" s="9"/>
      <c r="AH578" s="5" t="s">
        <v>3182</v>
      </c>
      <c r="AI578" s="5" t="s">
        <v>101</v>
      </c>
      <c r="AJ578" s="5" t="s">
        <v>3</v>
      </c>
      <c r="AK578" s="16" t="s">
        <v>3</v>
      </c>
      <c r="AL578" s="65" t="s">
        <v>3842</v>
      </c>
      <c r="AM578" s="31" t="s">
        <v>1438</v>
      </c>
    </row>
    <row r="579" spans="2:39" x14ac:dyDescent="0.25">
      <c r="B579" s="18" t="s">
        <v>1439</v>
      </c>
      <c r="C579" s="44" t="s">
        <v>3642</v>
      </c>
      <c r="D579" s="20" t="s">
        <v>101</v>
      </c>
      <c r="E579" s="67" t="s">
        <v>3</v>
      </c>
      <c r="F579" s="51" t="s">
        <v>3</v>
      </c>
      <c r="G579" s="37" t="s">
        <v>3842</v>
      </c>
      <c r="H579" s="68" t="s">
        <v>3842</v>
      </c>
      <c r="I579" s="62" t="s">
        <v>10</v>
      </c>
      <c r="J579" s="61" t="s">
        <v>250</v>
      </c>
      <c r="K579" s="4">
        <v>3000000</v>
      </c>
      <c r="L579" s="39">
        <v>105.10299999999999</v>
      </c>
      <c r="M579" s="4">
        <v>3153090</v>
      </c>
      <c r="N579" s="4">
        <v>3000000</v>
      </c>
      <c r="O579" s="4">
        <v>3000000</v>
      </c>
      <c r="P579" s="4">
        <v>0</v>
      </c>
      <c r="Q579" s="4">
        <v>0</v>
      </c>
      <c r="R579" s="4">
        <v>0</v>
      </c>
      <c r="S579" s="4">
        <v>0</v>
      </c>
      <c r="T579" s="23">
        <v>3.5430000000000001</v>
      </c>
      <c r="U579" s="23">
        <v>3.5430000000000001</v>
      </c>
      <c r="V579" s="5" t="s">
        <v>248</v>
      </c>
      <c r="W579" s="4">
        <v>36611</v>
      </c>
      <c r="X579" s="4">
        <v>106290</v>
      </c>
      <c r="Y579" s="11">
        <v>42788</v>
      </c>
      <c r="Z579" s="11">
        <v>45349</v>
      </c>
      <c r="AA579" s="2"/>
      <c r="AB579" s="63" t="s">
        <v>3840</v>
      </c>
      <c r="AC579" s="5" t="s">
        <v>9</v>
      </c>
      <c r="AD579" s="2"/>
      <c r="AE579" s="11">
        <v>45287</v>
      </c>
      <c r="AF579" s="23">
        <v>100</v>
      </c>
      <c r="AG579" s="6"/>
      <c r="AH579" s="5" t="s">
        <v>3182</v>
      </c>
      <c r="AI579" s="5" t="s">
        <v>101</v>
      </c>
      <c r="AJ579" s="5" t="s">
        <v>3</v>
      </c>
      <c r="AK579" s="16" t="s">
        <v>3</v>
      </c>
      <c r="AL579" s="65" t="s">
        <v>3842</v>
      </c>
      <c r="AM579" s="31" t="s">
        <v>1176</v>
      </c>
    </row>
    <row r="580" spans="2:39" x14ac:dyDescent="0.25">
      <c r="B580" s="18" t="s">
        <v>2534</v>
      </c>
      <c r="C580" s="44" t="s">
        <v>1226</v>
      </c>
      <c r="D580" s="20" t="s">
        <v>3982</v>
      </c>
      <c r="E580" s="67" t="s">
        <v>3</v>
      </c>
      <c r="F580" s="51" t="s">
        <v>3</v>
      </c>
      <c r="G580" s="37" t="s">
        <v>2715</v>
      </c>
      <c r="H580" s="68" t="s">
        <v>2715</v>
      </c>
      <c r="I580" s="62" t="s">
        <v>1358</v>
      </c>
      <c r="J580" s="61" t="s">
        <v>250</v>
      </c>
      <c r="K580" s="4">
        <v>5610275</v>
      </c>
      <c r="L580" s="39">
        <v>113.295</v>
      </c>
      <c r="M580" s="4">
        <v>6231225</v>
      </c>
      <c r="N580" s="4">
        <v>5500000</v>
      </c>
      <c r="O580" s="4">
        <v>5585336</v>
      </c>
      <c r="P580" s="4">
        <v>0</v>
      </c>
      <c r="Q580" s="4">
        <v>-15630</v>
      </c>
      <c r="R580" s="4">
        <v>0</v>
      </c>
      <c r="S580" s="4">
        <v>0</v>
      </c>
      <c r="T580" s="23">
        <v>3.4</v>
      </c>
      <c r="U580" s="23">
        <v>3.0619999999999998</v>
      </c>
      <c r="V580" s="5" t="s">
        <v>12</v>
      </c>
      <c r="W580" s="4">
        <v>62333</v>
      </c>
      <c r="X580" s="4">
        <v>187000</v>
      </c>
      <c r="Y580" s="11">
        <v>43600</v>
      </c>
      <c r="Z580" s="11">
        <v>46082</v>
      </c>
      <c r="AA580" s="2"/>
      <c r="AB580" s="63" t="s">
        <v>3840</v>
      </c>
      <c r="AC580" s="5" t="s">
        <v>4198</v>
      </c>
      <c r="AD580" s="2"/>
      <c r="AE580" s="11">
        <v>46023</v>
      </c>
      <c r="AF580" s="23">
        <v>100</v>
      </c>
      <c r="AG580" s="10">
        <v>46023</v>
      </c>
      <c r="AH580" s="5" t="s">
        <v>102</v>
      </c>
      <c r="AI580" s="5" t="s">
        <v>3982</v>
      </c>
      <c r="AJ580" s="5" t="s">
        <v>3</v>
      </c>
      <c r="AK580" s="16" t="s">
        <v>3</v>
      </c>
      <c r="AL580" s="65" t="s">
        <v>3842</v>
      </c>
      <c r="AM580" s="31" t="s">
        <v>559</v>
      </c>
    </row>
    <row r="581" spans="2:39" x14ac:dyDescent="0.25">
      <c r="B581" s="18" t="s">
        <v>3983</v>
      </c>
      <c r="C581" s="44" t="s">
        <v>3183</v>
      </c>
      <c r="D581" s="20" t="s">
        <v>678</v>
      </c>
      <c r="E581" s="67" t="s">
        <v>3</v>
      </c>
      <c r="F581" s="51" t="s">
        <v>3</v>
      </c>
      <c r="G581" s="37" t="s">
        <v>2715</v>
      </c>
      <c r="H581" s="68" t="s">
        <v>3842</v>
      </c>
      <c r="I581" s="62" t="s">
        <v>3310</v>
      </c>
      <c r="J581" s="61" t="s">
        <v>250</v>
      </c>
      <c r="K581" s="4">
        <v>4995400</v>
      </c>
      <c r="L581" s="39">
        <v>113.776</v>
      </c>
      <c r="M581" s="4">
        <v>5688800</v>
      </c>
      <c r="N581" s="4">
        <v>5000000</v>
      </c>
      <c r="O581" s="4">
        <v>4996852</v>
      </c>
      <c r="P581" s="4">
        <v>0</v>
      </c>
      <c r="Q581" s="4">
        <v>612</v>
      </c>
      <c r="R581" s="4">
        <v>0</v>
      </c>
      <c r="S581" s="4">
        <v>0</v>
      </c>
      <c r="T581" s="23">
        <v>3.8</v>
      </c>
      <c r="U581" s="23">
        <v>3.8149999999999999</v>
      </c>
      <c r="V581" s="5" t="s">
        <v>248</v>
      </c>
      <c r="W581" s="4">
        <v>71778</v>
      </c>
      <c r="X581" s="4">
        <v>190000</v>
      </c>
      <c r="Y581" s="11">
        <v>43320</v>
      </c>
      <c r="Z581" s="11">
        <v>45884</v>
      </c>
      <c r="AA581" s="2"/>
      <c r="AB581" s="63" t="s">
        <v>3840</v>
      </c>
      <c r="AC581" s="5" t="s">
        <v>4198</v>
      </c>
      <c r="AD581" s="2"/>
      <c r="AE581" s="11">
        <v>45823</v>
      </c>
      <c r="AF581" s="23">
        <v>100</v>
      </c>
      <c r="AG581" s="6"/>
      <c r="AH581" s="5" t="s">
        <v>103</v>
      </c>
      <c r="AI581" s="5" t="s">
        <v>1440</v>
      </c>
      <c r="AJ581" s="5" t="s">
        <v>1441</v>
      </c>
      <c r="AK581" s="16" t="s">
        <v>3</v>
      </c>
      <c r="AL581" s="65" t="s">
        <v>3842</v>
      </c>
      <c r="AM581" s="31" t="s">
        <v>1651</v>
      </c>
    </row>
    <row r="582" spans="2:39" x14ac:dyDescent="0.25">
      <c r="B582" s="18" t="s">
        <v>679</v>
      </c>
      <c r="C582" s="44" t="s">
        <v>4312</v>
      </c>
      <c r="D582" s="20" t="s">
        <v>678</v>
      </c>
      <c r="E582" s="67" t="s">
        <v>3</v>
      </c>
      <c r="F582" s="51" t="s">
        <v>3</v>
      </c>
      <c r="G582" s="37" t="s">
        <v>2715</v>
      </c>
      <c r="H582" s="68" t="s">
        <v>3842</v>
      </c>
      <c r="I582" s="62" t="s">
        <v>3310</v>
      </c>
      <c r="J582" s="61" t="s">
        <v>250</v>
      </c>
      <c r="K582" s="4">
        <v>17644060</v>
      </c>
      <c r="L582" s="39">
        <v>106.11199999999999</v>
      </c>
      <c r="M582" s="4">
        <v>18039040</v>
      </c>
      <c r="N582" s="4">
        <v>17000000</v>
      </c>
      <c r="O582" s="4">
        <v>17599888</v>
      </c>
      <c r="P582" s="4">
        <v>0</v>
      </c>
      <c r="Q582" s="4">
        <v>-44172</v>
      </c>
      <c r="R582" s="4">
        <v>0</v>
      </c>
      <c r="S582" s="4">
        <v>0</v>
      </c>
      <c r="T582" s="23">
        <v>2</v>
      </c>
      <c r="U582" s="23">
        <v>1.3859999999999999</v>
      </c>
      <c r="V582" s="5" t="s">
        <v>12</v>
      </c>
      <c r="W582" s="4">
        <v>102944</v>
      </c>
      <c r="X582" s="4">
        <v>170000</v>
      </c>
      <c r="Y582" s="11">
        <v>44047</v>
      </c>
      <c r="Z582" s="11">
        <v>46458</v>
      </c>
      <c r="AA582" s="2"/>
      <c r="AB582" s="63" t="s">
        <v>3840</v>
      </c>
      <c r="AC582" s="5" t="s">
        <v>4198</v>
      </c>
      <c r="AD582" s="2"/>
      <c r="AE582" s="10">
        <v>46399</v>
      </c>
      <c r="AF582" s="23">
        <v>100</v>
      </c>
      <c r="AG582" s="10">
        <v>46399</v>
      </c>
      <c r="AH582" s="5" t="s">
        <v>103</v>
      </c>
      <c r="AI582" s="5" t="s">
        <v>1440</v>
      </c>
      <c r="AJ582" s="5" t="s">
        <v>1441</v>
      </c>
      <c r="AK582" s="16" t="s">
        <v>3</v>
      </c>
      <c r="AL582" s="65" t="s">
        <v>3842</v>
      </c>
      <c r="AM582" s="31" t="s">
        <v>1651</v>
      </c>
    </row>
    <row r="583" spans="2:39" x14ac:dyDescent="0.25">
      <c r="B583" s="18" t="s">
        <v>1787</v>
      </c>
      <c r="C583" s="44" t="s">
        <v>3184</v>
      </c>
      <c r="D583" s="20" t="s">
        <v>2090</v>
      </c>
      <c r="E583" s="67" t="s">
        <v>3</v>
      </c>
      <c r="F583" s="51" t="s">
        <v>3</v>
      </c>
      <c r="G583" s="37" t="s">
        <v>3842</v>
      </c>
      <c r="H583" s="68" t="s">
        <v>2715</v>
      </c>
      <c r="I583" s="62" t="s">
        <v>3538</v>
      </c>
      <c r="J583" s="61" t="s">
        <v>250</v>
      </c>
      <c r="K583" s="4">
        <v>5000000</v>
      </c>
      <c r="L583" s="39">
        <v>109.715</v>
      </c>
      <c r="M583" s="4">
        <v>5485750</v>
      </c>
      <c r="N583" s="4">
        <v>5000000</v>
      </c>
      <c r="O583" s="4">
        <v>5000000</v>
      </c>
      <c r="P583" s="4">
        <v>0</v>
      </c>
      <c r="Q583" s="4">
        <v>0</v>
      </c>
      <c r="R583" s="4">
        <v>0</v>
      </c>
      <c r="S583" s="4">
        <v>0</v>
      </c>
      <c r="T583" s="23">
        <v>3.7759999999999998</v>
      </c>
      <c r="U583" s="23">
        <v>3.774</v>
      </c>
      <c r="V583" s="5" t="s">
        <v>3844</v>
      </c>
      <c r="W583" s="4">
        <v>14684</v>
      </c>
      <c r="X583" s="4">
        <v>188800</v>
      </c>
      <c r="Y583" s="11">
        <v>43432</v>
      </c>
      <c r="Z583" s="11">
        <v>45629</v>
      </c>
      <c r="AA583" s="2"/>
      <c r="AB583" s="63" t="s">
        <v>3840</v>
      </c>
      <c r="AC583" s="5" t="s">
        <v>4198</v>
      </c>
      <c r="AD583" s="2"/>
      <c r="AE583" s="11">
        <v>45263</v>
      </c>
      <c r="AF583" s="23">
        <v>100</v>
      </c>
      <c r="AG583" s="9"/>
      <c r="AH583" s="5" t="s">
        <v>3984</v>
      </c>
      <c r="AI583" s="5" t="s">
        <v>2090</v>
      </c>
      <c r="AJ583" s="5" t="s">
        <v>3</v>
      </c>
      <c r="AK583" s="16" t="s">
        <v>3</v>
      </c>
      <c r="AL583" s="65" t="s">
        <v>3842</v>
      </c>
      <c r="AM583" s="31" t="s">
        <v>1161</v>
      </c>
    </row>
    <row r="584" spans="2:39" x14ac:dyDescent="0.25">
      <c r="B584" s="18" t="s">
        <v>3643</v>
      </c>
      <c r="C584" s="44" t="s">
        <v>1788</v>
      </c>
      <c r="D584" s="20" t="s">
        <v>2535</v>
      </c>
      <c r="E584" s="67" t="s">
        <v>3</v>
      </c>
      <c r="F584" s="51" t="s">
        <v>3</v>
      </c>
      <c r="G584" s="37" t="s">
        <v>2715</v>
      </c>
      <c r="H584" s="68" t="s">
        <v>3842</v>
      </c>
      <c r="I584" s="62" t="s">
        <v>1157</v>
      </c>
      <c r="J584" s="61" t="s">
        <v>250</v>
      </c>
      <c r="K584" s="4">
        <v>2997750</v>
      </c>
      <c r="L584" s="39">
        <v>107.476</v>
      </c>
      <c r="M584" s="4">
        <v>3224280</v>
      </c>
      <c r="N584" s="4">
        <v>3000000</v>
      </c>
      <c r="O584" s="4">
        <v>2998203</v>
      </c>
      <c r="P584" s="4">
        <v>0</v>
      </c>
      <c r="Q584" s="4">
        <v>434</v>
      </c>
      <c r="R584" s="4">
        <v>0</v>
      </c>
      <c r="S584" s="4">
        <v>0</v>
      </c>
      <c r="T584" s="23">
        <v>2.8</v>
      </c>
      <c r="U584" s="23">
        <v>2.8159999999999998</v>
      </c>
      <c r="V584" s="5" t="s">
        <v>3844</v>
      </c>
      <c r="W584" s="4">
        <v>3733</v>
      </c>
      <c r="X584" s="4">
        <v>84933</v>
      </c>
      <c r="Y584" s="11">
        <v>43808</v>
      </c>
      <c r="Z584" s="11">
        <v>45641</v>
      </c>
      <c r="AA584" s="2"/>
      <c r="AB584" s="63" t="s">
        <v>3840</v>
      </c>
      <c r="AC584" s="5" t="s">
        <v>4198</v>
      </c>
      <c r="AD584" s="2"/>
      <c r="AE584" s="11">
        <v>45611</v>
      </c>
      <c r="AF584" s="23">
        <v>100</v>
      </c>
      <c r="AG584" s="6"/>
      <c r="AH584" s="5" t="s">
        <v>2873</v>
      </c>
      <c r="AI584" s="5" t="s">
        <v>2535</v>
      </c>
      <c r="AJ584" s="5" t="s">
        <v>3</v>
      </c>
      <c r="AK584" s="16" t="s">
        <v>3</v>
      </c>
      <c r="AL584" s="65" t="s">
        <v>3842</v>
      </c>
      <c r="AM584" s="31" t="s">
        <v>926</v>
      </c>
    </row>
    <row r="585" spans="2:39" x14ac:dyDescent="0.25">
      <c r="B585" s="18" t="s">
        <v>368</v>
      </c>
      <c r="C585" s="44" t="s">
        <v>2091</v>
      </c>
      <c r="D585" s="20" t="s">
        <v>3185</v>
      </c>
      <c r="E585" s="67" t="s">
        <v>3</v>
      </c>
      <c r="F585" s="51" t="s">
        <v>3</v>
      </c>
      <c r="G585" s="37" t="s">
        <v>2715</v>
      </c>
      <c r="H585" s="68" t="s">
        <v>3842</v>
      </c>
      <c r="I585" s="62" t="s">
        <v>3310</v>
      </c>
      <c r="J585" s="61" t="s">
        <v>250</v>
      </c>
      <c r="K585" s="4">
        <v>9521500</v>
      </c>
      <c r="L585" s="39">
        <v>111.846</v>
      </c>
      <c r="M585" s="4">
        <v>11184600</v>
      </c>
      <c r="N585" s="4">
        <v>10000000</v>
      </c>
      <c r="O585" s="4">
        <v>9654033</v>
      </c>
      <c r="P585" s="4">
        <v>0</v>
      </c>
      <c r="Q585" s="4">
        <v>63369</v>
      </c>
      <c r="R585" s="4">
        <v>0</v>
      </c>
      <c r="S585" s="4">
        <v>0</v>
      </c>
      <c r="T585" s="23">
        <v>3.375</v>
      </c>
      <c r="U585" s="23">
        <v>4.173</v>
      </c>
      <c r="V585" s="5" t="s">
        <v>3312</v>
      </c>
      <c r="W585" s="4">
        <v>56250</v>
      </c>
      <c r="X585" s="4">
        <v>337500</v>
      </c>
      <c r="Y585" s="11">
        <v>43418</v>
      </c>
      <c r="Z585" s="11">
        <v>45962</v>
      </c>
      <c r="AA585" s="2"/>
      <c r="AB585" s="63" t="s">
        <v>3840</v>
      </c>
      <c r="AC585" s="5" t="s">
        <v>4198</v>
      </c>
      <c r="AD585" s="2"/>
      <c r="AE585" s="11">
        <v>45870</v>
      </c>
      <c r="AF585" s="23">
        <v>100</v>
      </c>
      <c r="AG585" s="9"/>
      <c r="AH585" s="5" t="s">
        <v>1442</v>
      </c>
      <c r="AI585" s="5" t="s">
        <v>3185</v>
      </c>
      <c r="AJ585" s="5" t="s">
        <v>3</v>
      </c>
      <c r="AK585" s="16" t="s">
        <v>3</v>
      </c>
      <c r="AL585" s="65" t="s">
        <v>3842</v>
      </c>
      <c r="AM585" s="31" t="s">
        <v>1651</v>
      </c>
    </row>
    <row r="586" spans="2:39" x14ac:dyDescent="0.25">
      <c r="B586" s="18" t="s">
        <v>1443</v>
      </c>
      <c r="C586" s="44" t="s">
        <v>3186</v>
      </c>
      <c r="D586" s="20" t="s">
        <v>680</v>
      </c>
      <c r="E586" s="67" t="s">
        <v>3</v>
      </c>
      <c r="F586" s="51" t="s">
        <v>3</v>
      </c>
      <c r="G586" s="37" t="s">
        <v>2715</v>
      </c>
      <c r="H586" s="68" t="s">
        <v>3842</v>
      </c>
      <c r="I586" s="62" t="s">
        <v>3310</v>
      </c>
      <c r="J586" s="61" t="s">
        <v>250</v>
      </c>
      <c r="K586" s="4">
        <v>4992200</v>
      </c>
      <c r="L586" s="39">
        <v>100.239</v>
      </c>
      <c r="M586" s="4">
        <v>5011951</v>
      </c>
      <c r="N586" s="4">
        <v>5000000</v>
      </c>
      <c r="O586" s="4">
        <v>4999172</v>
      </c>
      <c r="P586" s="4">
        <v>0</v>
      </c>
      <c r="Q586" s="4">
        <v>3982</v>
      </c>
      <c r="R586" s="4">
        <v>0</v>
      </c>
      <c r="S586" s="4">
        <v>0</v>
      </c>
      <c r="T586" s="23">
        <v>2.625</v>
      </c>
      <c r="U586" s="23">
        <v>2.7069999999999999</v>
      </c>
      <c r="V586" s="5" t="s">
        <v>12</v>
      </c>
      <c r="W586" s="4">
        <v>38646</v>
      </c>
      <c r="X586" s="4">
        <v>131250</v>
      </c>
      <c r="Y586" s="11">
        <v>43551</v>
      </c>
      <c r="Z586" s="11">
        <v>44270</v>
      </c>
      <c r="AA586" s="2"/>
      <c r="AB586" s="63" t="s">
        <v>3840</v>
      </c>
      <c r="AC586" s="5" t="s">
        <v>4198</v>
      </c>
      <c r="AD586" s="2"/>
      <c r="AE586" s="11">
        <v>44242</v>
      </c>
      <c r="AF586" s="23">
        <v>100</v>
      </c>
      <c r="AG586" s="6"/>
      <c r="AH586" s="5" t="s">
        <v>1442</v>
      </c>
      <c r="AI586" s="5" t="s">
        <v>3185</v>
      </c>
      <c r="AJ586" s="5" t="s">
        <v>1444</v>
      </c>
      <c r="AK586" s="16" t="s">
        <v>3</v>
      </c>
      <c r="AL586" s="65" t="s">
        <v>3842</v>
      </c>
      <c r="AM586" s="31" t="s">
        <v>1651</v>
      </c>
    </row>
    <row r="587" spans="2:39" x14ac:dyDescent="0.25">
      <c r="B587" s="18" t="s">
        <v>2536</v>
      </c>
      <c r="C587" s="44" t="s">
        <v>369</v>
      </c>
      <c r="D587" s="20" t="s">
        <v>1445</v>
      </c>
      <c r="E587" s="67" t="s">
        <v>3</v>
      </c>
      <c r="F587" s="51" t="s">
        <v>3</v>
      </c>
      <c r="G587" s="37" t="s">
        <v>3842</v>
      </c>
      <c r="H587" s="68" t="s">
        <v>2715</v>
      </c>
      <c r="I587" s="62" t="s">
        <v>1358</v>
      </c>
      <c r="J587" s="61" t="s">
        <v>250</v>
      </c>
      <c r="K587" s="4">
        <v>2993490</v>
      </c>
      <c r="L587" s="39">
        <v>100.206</v>
      </c>
      <c r="M587" s="4">
        <v>3006180</v>
      </c>
      <c r="N587" s="4">
        <v>3000000</v>
      </c>
      <c r="O587" s="4">
        <v>2999761</v>
      </c>
      <c r="P587" s="4">
        <v>0</v>
      </c>
      <c r="Q587" s="4">
        <v>1372</v>
      </c>
      <c r="R587" s="4">
        <v>0</v>
      </c>
      <c r="S587" s="4">
        <v>0</v>
      </c>
      <c r="T587" s="23">
        <v>2.9</v>
      </c>
      <c r="U587" s="23">
        <v>2.9470000000000001</v>
      </c>
      <c r="V587" s="5" t="s">
        <v>12</v>
      </c>
      <c r="W587" s="4">
        <v>28517</v>
      </c>
      <c r="X587" s="4">
        <v>87000</v>
      </c>
      <c r="Y587" s="11">
        <v>42429</v>
      </c>
      <c r="Z587" s="11">
        <v>44258</v>
      </c>
      <c r="AA587" s="2"/>
      <c r="AB587" s="63" t="s">
        <v>3840</v>
      </c>
      <c r="AC587" s="5" t="s">
        <v>4198</v>
      </c>
      <c r="AD587" s="2"/>
      <c r="AE587" s="11">
        <v>44230</v>
      </c>
      <c r="AF587" s="23">
        <v>100</v>
      </c>
      <c r="AG587" s="9"/>
      <c r="AH587" s="5" t="s">
        <v>3644</v>
      </c>
      <c r="AI587" s="5" t="s">
        <v>1445</v>
      </c>
      <c r="AJ587" s="5" t="s">
        <v>3</v>
      </c>
      <c r="AK587" s="16" t="s">
        <v>3</v>
      </c>
      <c r="AL587" s="65" t="s">
        <v>3842</v>
      </c>
      <c r="AM587" s="31" t="s">
        <v>559</v>
      </c>
    </row>
    <row r="588" spans="2:39" x14ac:dyDescent="0.25">
      <c r="B588" s="18" t="s">
        <v>3645</v>
      </c>
      <c r="C588" s="44" t="s">
        <v>370</v>
      </c>
      <c r="D588" s="20" t="s">
        <v>1445</v>
      </c>
      <c r="E588" s="67" t="s">
        <v>3</v>
      </c>
      <c r="F588" s="51" t="s">
        <v>3</v>
      </c>
      <c r="G588" s="37" t="s">
        <v>3842</v>
      </c>
      <c r="H588" s="68" t="s">
        <v>2715</v>
      </c>
      <c r="I588" s="62" t="s">
        <v>1358</v>
      </c>
      <c r="J588" s="61" t="s">
        <v>250</v>
      </c>
      <c r="K588" s="4">
        <v>4993600</v>
      </c>
      <c r="L588" s="39">
        <v>102.372</v>
      </c>
      <c r="M588" s="4">
        <v>5118600</v>
      </c>
      <c r="N588" s="4">
        <v>5000000</v>
      </c>
      <c r="O588" s="4">
        <v>4998635</v>
      </c>
      <c r="P588" s="4">
        <v>0</v>
      </c>
      <c r="Q588" s="4">
        <v>1238</v>
      </c>
      <c r="R588" s="4">
        <v>0</v>
      </c>
      <c r="S588" s="4">
        <v>0</v>
      </c>
      <c r="T588" s="23">
        <v>2.7</v>
      </c>
      <c r="U588" s="23">
        <v>2.726</v>
      </c>
      <c r="V588" s="5" t="s">
        <v>1982</v>
      </c>
      <c r="W588" s="4">
        <v>57750</v>
      </c>
      <c r="X588" s="4">
        <v>135000</v>
      </c>
      <c r="Y588" s="11">
        <v>42702</v>
      </c>
      <c r="Z588" s="11">
        <v>44588</v>
      </c>
      <c r="AA588" s="2"/>
      <c r="AB588" s="63" t="s">
        <v>3840</v>
      </c>
      <c r="AC588" s="5" t="s">
        <v>4198</v>
      </c>
      <c r="AD588" s="2"/>
      <c r="AE588" s="10">
        <v>44557</v>
      </c>
      <c r="AF588" s="23">
        <v>100</v>
      </c>
      <c r="AG588" s="6"/>
      <c r="AH588" s="5" t="s">
        <v>3644</v>
      </c>
      <c r="AI588" s="5" t="s">
        <v>1445</v>
      </c>
      <c r="AJ588" s="5" t="s">
        <v>3</v>
      </c>
      <c r="AK588" s="16" t="s">
        <v>3</v>
      </c>
      <c r="AL588" s="65" t="s">
        <v>3842</v>
      </c>
      <c r="AM588" s="31" t="s">
        <v>559</v>
      </c>
    </row>
    <row r="589" spans="2:39" x14ac:dyDescent="0.25">
      <c r="B589" s="18" t="s">
        <v>681</v>
      </c>
      <c r="C589" s="44" t="s">
        <v>2874</v>
      </c>
      <c r="D589" s="20" t="s">
        <v>1019</v>
      </c>
      <c r="E589" s="67" t="s">
        <v>3</v>
      </c>
      <c r="F589" s="51" t="s">
        <v>3</v>
      </c>
      <c r="G589" s="37" t="s">
        <v>2715</v>
      </c>
      <c r="H589" s="68" t="s">
        <v>2715</v>
      </c>
      <c r="I589" s="62" t="s">
        <v>3538</v>
      </c>
      <c r="J589" s="61" t="s">
        <v>250</v>
      </c>
      <c r="K589" s="4">
        <v>10000000</v>
      </c>
      <c r="L589" s="39">
        <v>104.23399999999999</v>
      </c>
      <c r="M589" s="4">
        <v>10423400</v>
      </c>
      <c r="N589" s="4">
        <v>10000000</v>
      </c>
      <c r="O589" s="4">
        <v>10000000</v>
      </c>
      <c r="P589" s="4">
        <v>0</v>
      </c>
      <c r="Q589" s="4">
        <v>0</v>
      </c>
      <c r="R589" s="4">
        <v>0</v>
      </c>
      <c r="S589" s="4">
        <v>0</v>
      </c>
      <c r="T589" s="23">
        <v>2.294</v>
      </c>
      <c r="U589" s="23">
        <v>2.294</v>
      </c>
      <c r="V589" s="5" t="s">
        <v>248</v>
      </c>
      <c r="W589" s="4">
        <v>39508</v>
      </c>
      <c r="X589" s="4">
        <v>0</v>
      </c>
      <c r="Y589" s="11">
        <v>44126</v>
      </c>
      <c r="Z589" s="11">
        <v>47710</v>
      </c>
      <c r="AA589" s="2"/>
      <c r="AB589" s="63" t="s">
        <v>3840</v>
      </c>
      <c r="AC589" s="5" t="s">
        <v>4198</v>
      </c>
      <c r="AD589" s="2"/>
      <c r="AE589" s="10">
        <v>47529</v>
      </c>
      <c r="AF589" s="23">
        <v>100</v>
      </c>
      <c r="AG589" s="6"/>
      <c r="AH589" s="5" t="s">
        <v>4313</v>
      </c>
      <c r="AI589" s="5" t="s">
        <v>1019</v>
      </c>
      <c r="AJ589" s="5" t="s">
        <v>3</v>
      </c>
      <c r="AK589" s="16" t="s">
        <v>3</v>
      </c>
      <c r="AL589" s="65" t="s">
        <v>3842</v>
      </c>
      <c r="AM589" s="31" t="s">
        <v>1161</v>
      </c>
    </row>
    <row r="590" spans="2:39" x14ac:dyDescent="0.25">
      <c r="B590" s="18" t="s">
        <v>1789</v>
      </c>
      <c r="C590" s="44" t="s">
        <v>2875</v>
      </c>
      <c r="D590" s="20" t="s">
        <v>2876</v>
      </c>
      <c r="E590" s="67" t="s">
        <v>3</v>
      </c>
      <c r="F590" s="51" t="s">
        <v>3</v>
      </c>
      <c r="G590" s="37" t="s">
        <v>2715</v>
      </c>
      <c r="H590" s="68" t="s">
        <v>3842</v>
      </c>
      <c r="I590" s="62" t="s">
        <v>1157</v>
      </c>
      <c r="J590" s="61" t="s">
        <v>250</v>
      </c>
      <c r="K590" s="4">
        <v>3907858</v>
      </c>
      <c r="L590" s="39">
        <v>103.063</v>
      </c>
      <c r="M590" s="4">
        <v>3946282</v>
      </c>
      <c r="N590" s="4">
        <v>3829000</v>
      </c>
      <c r="O590" s="4">
        <v>3849287</v>
      </c>
      <c r="P590" s="4">
        <v>0</v>
      </c>
      <c r="Q590" s="4">
        <v>-13645</v>
      </c>
      <c r="R590" s="4">
        <v>0</v>
      </c>
      <c r="S590" s="4">
        <v>0</v>
      </c>
      <c r="T590" s="23">
        <v>2.6</v>
      </c>
      <c r="U590" s="23">
        <v>2.226</v>
      </c>
      <c r="V590" s="5" t="s">
        <v>3844</v>
      </c>
      <c r="W590" s="4">
        <v>5254</v>
      </c>
      <c r="X590" s="4">
        <v>99554</v>
      </c>
      <c r="Y590" s="11">
        <v>42563</v>
      </c>
      <c r="Z590" s="11">
        <v>44724</v>
      </c>
      <c r="AA590" s="2"/>
      <c r="AB590" s="63" t="s">
        <v>3840</v>
      </c>
      <c r="AC590" s="5" t="s">
        <v>4198</v>
      </c>
      <c r="AD590" s="2"/>
      <c r="AE590" s="6"/>
      <c r="AF590" s="23"/>
      <c r="AG590" s="6"/>
      <c r="AH590" s="5" t="s">
        <v>2092</v>
      </c>
      <c r="AI590" s="5" t="s">
        <v>2876</v>
      </c>
      <c r="AJ590" s="5" t="s">
        <v>3</v>
      </c>
      <c r="AK590" s="16" t="s">
        <v>3</v>
      </c>
      <c r="AL590" s="65" t="s">
        <v>2715</v>
      </c>
      <c r="AM590" s="31" t="s">
        <v>926</v>
      </c>
    </row>
    <row r="591" spans="2:39" x14ac:dyDescent="0.25">
      <c r="B591" s="18" t="s">
        <v>2877</v>
      </c>
      <c r="C591" s="44" t="s">
        <v>3403</v>
      </c>
      <c r="D591" s="20" t="s">
        <v>3187</v>
      </c>
      <c r="E591" s="67" t="s">
        <v>3</v>
      </c>
      <c r="F591" s="51" t="s">
        <v>3</v>
      </c>
      <c r="G591" s="37" t="s">
        <v>2715</v>
      </c>
      <c r="H591" s="68" t="s">
        <v>3842</v>
      </c>
      <c r="I591" s="62" t="s">
        <v>10</v>
      </c>
      <c r="J591" s="61" t="s">
        <v>250</v>
      </c>
      <c r="K591" s="4">
        <v>5026000</v>
      </c>
      <c r="L591" s="39">
        <v>111.32</v>
      </c>
      <c r="M591" s="4">
        <v>5566000</v>
      </c>
      <c r="N591" s="4">
        <v>5000000</v>
      </c>
      <c r="O591" s="4">
        <v>5019954</v>
      </c>
      <c r="P591" s="4">
        <v>0</v>
      </c>
      <c r="Q591" s="4">
        <v>-4671</v>
      </c>
      <c r="R591" s="4">
        <v>0</v>
      </c>
      <c r="S591" s="4">
        <v>0</v>
      </c>
      <c r="T591" s="23">
        <v>3.55</v>
      </c>
      <c r="U591" s="23">
        <v>3.4409999999999998</v>
      </c>
      <c r="V591" s="5" t="s">
        <v>12</v>
      </c>
      <c r="W591" s="4">
        <v>52264</v>
      </c>
      <c r="X591" s="4">
        <v>177500</v>
      </c>
      <c r="Y591" s="11">
        <v>43553</v>
      </c>
      <c r="Z591" s="11">
        <v>45731</v>
      </c>
      <c r="AA591" s="2"/>
      <c r="AB591" s="63" t="s">
        <v>3840</v>
      </c>
      <c r="AC591" s="5" t="s">
        <v>4198</v>
      </c>
      <c r="AD591" s="2"/>
      <c r="AE591" s="11">
        <v>45672</v>
      </c>
      <c r="AF591" s="23">
        <v>100</v>
      </c>
      <c r="AG591" s="10">
        <v>45672</v>
      </c>
      <c r="AH591" s="5" t="s">
        <v>2092</v>
      </c>
      <c r="AI591" s="5" t="s">
        <v>2876</v>
      </c>
      <c r="AJ591" s="5" t="s">
        <v>2876</v>
      </c>
      <c r="AK591" s="16" t="s">
        <v>3</v>
      </c>
      <c r="AL591" s="65" t="s">
        <v>3842</v>
      </c>
      <c r="AM591" s="31" t="s">
        <v>1176</v>
      </c>
    </row>
    <row r="592" spans="2:39" x14ac:dyDescent="0.25">
      <c r="B592" s="18" t="s">
        <v>3985</v>
      </c>
      <c r="C592" s="44" t="s">
        <v>2537</v>
      </c>
      <c r="D592" s="20" t="s">
        <v>1446</v>
      </c>
      <c r="E592" s="67" t="s">
        <v>3</v>
      </c>
      <c r="F592" s="51" t="s">
        <v>3</v>
      </c>
      <c r="G592" s="37" t="s">
        <v>2715</v>
      </c>
      <c r="H592" s="68" t="s">
        <v>2715</v>
      </c>
      <c r="I592" s="62" t="s">
        <v>252</v>
      </c>
      <c r="J592" s="61" t="s">
        <v>250</v>
      </c>
      <c r="K592" s="4">
        <v>3990966</v>
      </c>
      <c r="L592" s="39">
        <v>102.9</v>
      </c>
      <c r="M592" s="4">
        <v>4116000</v>
      </c>
      <c r="N592" s="4">
        <v>4000000</v>
      </c>
      <c r="O592" s="4">
        <v>3998203</v>
      </c>
      <c r="P592" s="4">
        <v>0</v>
      </c>
      <c r="Q592" s="4">
        <v>1392</v>
      </c>
      <c r="R592" s="4">
        <v>0</v>
      </c>
      <c r="S592" s="4">
        <v>0</v>
      </c>
      <c r="T592" s="23">
        <v>2.95</v>
      </c>
      <c r="U592" s="23">
        <v>2.9870000000000001</v>
      </c>
      <c r="V592" s="5" t="s">
        <v>3843</v>
      </c>
      <c r="W592" s="4">
        <v>29500</v>
      </c>
      <c r="X592" s="4">
        <v>118000</v>
      </c>
      <c r="Y592" s="11">
        <v>42277</v>
      </c>
      <c r="Z592" s="11">
        <v>44652</v>
      </c>
      <c r="AA592" s="2"/>
      <c r="AB592" s="63" t="s">
        <v>3840</v>
      </c>
      <c r="AC592" s="5" t="s">
        <v>4198</v>
      </c>
      <c r="AD592" s="2"/>
      <c r="AE592" s="11">
        <v>44593</v>
      </c>
      <c r="AF592" s="23">
        <v>100</v>
      </c>
      <c r="AG592" s="6"/>
      <c r="AH592" s="5" t="s">
        <v>1020</v>
      </c>
      <c r="AI592" s="5" t="s">
        <v>3986</v>
      </c>
      <c r="AJ592" s="5" t="s">
        <v>2538</v>
      </c>
      <c r="AK592" s="16" t="s">
        <v>3</v>
      </c>
      <c r="AL592" s="65" t="s">
        <v>3842</v>
      </c>
      <c r="AM592" s="31" t="s">
        <v>898</v>
      </c>
    </row>
    <row r="593" spans="2:39" x14ac:dyDescent="0.25">
      <c r="B593" s="18" t="s">
        <v>682</v>
      </c>
      <c r="C593" s="44" t="s">
        <v>1227</v>
      </c>
      <c r="D593" s="20" t="s">
        <v>1446</v>
      </c>
      <c r="E593" s="67" t="s">
        <v>3</v>
      </c>
      <c r="F593" s="51" t="s">
        <v>3</v>
      </c>
      <c r="G593" s="37" t="s">
        <v>2715</v>
      </c>
      <c r="H593" s="68" t="s">
        <v>2715</v>
      </c>
      <c r="I593" s="62" t="s">
        <v>252</v>
      </c>
      <c r="J593" s="61" t="s">
        <v>250</v>
      </c>
      <c r="K593" s="4">
        <v>13971380</v>
      </c>
      <c r="L593" s="39">
        <v>109.721</v>
      </c>
      <c r="M593" s="4">
        <v>15360940</v>
      </c>
      <c r="N593" s="4">
        <v>14000000</v>
      </c>
      <c r="O593" s="4">
        <v>13981934</v>
      </c>
      <c r="P593" s="4">
        <v>0</v>
      </c>
      <c r="Q593" s="4">
        <v>5131</v>
      </c>
      <c r="R593" s="4">
        <v>0</v>
      </c>
      <c r="S593" s="4">
        <v>0</v>
      </c>
      <c r="T593" s="23">
        <v>3.75</v>
      </c>
      <c r="U593" s="23">
        <v>3.7930000000000001</v>
      </c>
      <c r="V593" s="5" t="s">
        <v>3843</v>
      </c>
      <c r="W593" s="4">
        <v>131250</v>
      </c>
      <c r="X593" s="4">
        <v>525000</v>
      </c>
      <c r="Y593" s="11">
        <v>43417</v>
      </c>
      <c r="Z593" s="11">
        <v>45383</v>
      </c>
      <c r="AA593" s="2"/>
      <c r="AB593" s="63" t="s">
        <v>3840</v>
      </c>
      <c r="AC593" s="5" t="s">
        <v>4198</v>
      </c>
      <c r="AD593" s="2"/>
      <c r="AE593" s="11">
        <v>45352</v>
      </c>
      <c r="AF593" s="23">
        <v>100</v>
      </c>
      <c r="AG593" s="6"/>
      <c r="AH593" s="5" t="s">
        <v>1020</v>
      </c>
      <c r="AI593" s="5" t="s">
        <v>3986</v>
      </c>
      <c r="AJ593" s="5" t="s">
        <v>371</v>
      </c>
      <c r="AK593" s="16" t="s">
        <v>3</v>
      </c>
      <c r="AL593" s="65" t="s">
        <v>3842</v>
      </c>
      <c r="AM593" s="31" t="s">
        <v>898</v>
      </c>
    </row>
    <row r="594" spans="2:39" x14ac:dyDescent="0.25">
      <c r="B594" s="18" t="s">
        <v>2539</v>
      </c>
      <c r="C594" s="44" t="s">
        <v>372</v>
      </c>
      <c r="D594" s="20" t="s">
        <v>373</v>
      </c>
      <c r="E594" s="67" t="s">
        <v>3</v>
      </c>
      <c r="F594" s="51" t="s">
        <v>3</v>
      </c>
      <c r="G594" s="37" t="s">
        <v>2715</v>
      </c>
      <c r="H594" s="68" t="s">
        <v>3842</v>
      </c>
      <c r="I594" s="62" t="s">
        <v>1157</v>
      </c>
      <c r="J594" s="61" t="s">
        <v>250</v>
      </c>
      <c r="K594" s="4">
        <v>10163650</v>
      </c>
      <c r="L594" s="39">
        <v>104.056</v>
      </c>
      <c r="M594" s="4">
        <v>10405600</v>
      </c>
      <c r="N594" s="4">
        <v>10000000</v>
      </c>
      <c r="O594" s="4">
        <v>10155406</v>
      </c>
      <c r="P594" s="4">
        <v>0</v>
      </c>
      <c r="Q594" s="4">
        <v>-8244</v>
      </c>
      <c r="R594" s="4">
        <v>0</v>
      </c>
      <c r="S594" s="4">
        <v>0</v>
      </c>
      <c r="T594" s="23">
        <v>2.0499999999999998</v>
      </c>
      <c r="U594" s="23">
        <v>1.8089999999999999</v>
      </c>
      <c r="V594" s="5" t="s">
        <v>248</v>
      </c>
      <c r="W594" s="4">
        <v>106486</v>
      </c>
      <c r="X594" s="4">
        <v>0</v>
      </c>
      <c r="Y594" s="11">
        <v>44047</v>
      </c>
      <c r="Z594" s="11">
        <v>46798</v>
      </c>
      <c r="AA594" s="2"/>
      <c r="AB594" s="63" t="s">
        <v>3840</v>
      </c>
      <c r="AC594" s="5" t="s">
        <v>4198</v>
      </c>
      <c r="AD594" s="2"/>
      <c r="AE594" s="11">
        <v>46736</v>
      </c>
      <c r="AF594" s="23">
        <v>100</v>
      </c>
      <c r="AG594" s="11">
        <v>46736</v>
      </c>
      <c r="AH594" s="5" t="s">
        <v>683</v>
      </c>
      <c r="AI594" s="5" t="s">
        <v>104</v>
      </c>
      <c r="AJ594" s="5" t="s">
        <v>928</v>
      </c>
      <c r="AK594" s="16" t="s">
        <v>3</v>
      </c>
      <c r="AL594" s="65" t="s">
        <v>2715</v>
      </c>
      <c r="AM594" s="31" t="s">
        <v>926</v>
      </c>
    </row>
    <row r="595" spans="2:39" x14ac:dyDescent="0.25">
      <c r="B595" s="18" t="s">
        <v>3646</v>
      </c>
      <c r="C595" s="44" t="s">
        <v>2878</v>
      </c>
      <c r="D595" s="20" t="s">
        <v>105</v>
      </c>
      <c r="E595" s="67" t="s">
        <v>3</v>
      </c>
      <c r="F595" s="51" t="s">
        <v>3</v>
      </c>
      <c r="G595" s="37" t="s">
        <v>2715</v>
      </c>
      <c r="H595" s="68" t="s">
        <v>929</v>
      </c>
      <c r="I595" s="62" t="s">
        <v>1157</v>
      </c>
      <c r="J595" s="61" t="s">
        <v>250</v>
      </c>
      <c r="K595" s="4">
        <v>1000000</v>
      </c>
      <c r="L595" s="39">
        <v>108.855</v>
      </c>
      <c r="M595" s="4">
        <v>1088550</v>
      </c>
      <c r="N595" s="4">
        <v>1000000</v>
      </c>
      <c r="O595" s="4">
        <v>1000000</v>
      </c>
      <c r="P595" s="4">
        <v>0</v>
      </c>
      <c r="Q595" s="4">
        <v>0</v>
      </c>
      <c r="R595" s="4">
        <v>0</v>
      </c>
      <c r="S595" s="4">
        <v>0</v>
      </c>
      <c r="T595" s="23">
        <v>4.875</v>
      </c>
      <c r="U595" s="23">
        <v>4.875</v>
      </c>
      <c r="V595" s="5" t="s">
        <v>248</v>
      </c>
      <c r="W595" s="4">
        <v>18010</v>
      </c>
      <c r="X595" s="4">
        <v>0</v>
      </c>
      <c r="Y595" s="11">
        <v>44054</v>
      </c>
      <c r="Z595" s="11">
        <v>47880</v>
      </c>
      <c r="AA595" s="2"/>
      <c r="AB595" s="63" t="s">
        <v>3840</v>
      </c>
      <c r="AC595" s="5" t="s">
        <v>4198</v>
      </c>
      <c r="AD595" s="2"/>
      <c r="AE595" s="11">
        <v>46054</v>
      </c>
      <c r="AF595" s="23">
        <v>102.438</v>
      </c>
      <c r="AG595" s="6"/>
      <c r="AH595" s="5" t="s">
        <v>106</v>
      </c>
      <c r="AI595" s="5" t="s">
        <v>3647</v>
      </c>
      <c r="AJ595" s="5" t="s">
        <v>928</v>
      </c>
      <c r="AK595" s="16" t="s">
        <v>3</v>
      </c>
      <c r="AL595" s="65" t="s">
        <v>3842</v>
      </c>
      <c r="AM595" s="31" t="s">
        <v>276</v>
      </c>
    </row>
    <row r="596" spans="2:39" x14ac:dyDescent="0.25">
      <c r="B596" s="18" t="s">
        <v>374</v>
      </c>
      <c r="C596" s="44" t="s">
        <v>375</v>
      </c>
      <c r="D596" s="20" t="s">
        <v>4314</v>
      </c>
      <c r="E596" s="67" t="s">
        <v>3</v>
      </c>
      <c r="F596" s="51" t="s">
        <v>3</v>
      </c>
      <c r="G596" s="37" t="s">
        <v>2715</v>
      </c>
      <c r="H596" s="68" t="s">
        <v>929</v>
      </c>
      <c r="I596" s="62" t="s">
        <v>1157</v>
      </c>
      <c r="J596" s="61" t="s">
        <v>250</v>
      </c>
      <c r="K596" s="4">
        <v>1400000</v>
      </c>
      <c r="L596" s="39">
        <v>106.569</v>
      </c>
      <c r="M596" s="4">
        <v>1491966</v>
      </c>
      <c r="N596" s="4">
        <v>1400000</v>
      </c>
      <c r="O596" s="4">
        <v>1400000</v>
      </c>
      <c r="P596" s="4">
        <v>0</v>
      </c>
      <c r="Q596" s="4">
        <v>0</v>
      </c>
      <c r="R596" s="4">
        <v>0</v>
      </c>
      <c r="S596" s="4">
        <v>0</v>
      </c>
      <c r="T596" s="23">
        <v>4.75</v>
      </c>
      <c r="U596" s="23">
        <v>4.75</v>
      </c>
      <c r="V596" s="5" t="s">
        <v>12</v>
      </c>
      <c r="W596" s="4">
        <v>20504</v>
      </c>
      <c r="X596" s="4">
        <v>0</v>
      </c>
      <c r="Y596" s="11">
        <v>44082</v>
      </c>
      <c r="Z596" s="11">
        <v>46096</v>
      </c>
      <c r="AA596" s="2"/>
      <c r="AB596" s="63" t="s">
        <v>3840</v>
      </c>
      <c r="AC596" s="5" t="s">
        <v>4198</v>
      </c>
      <c r="AD596" s="2"/>
      <c r="AE596" s="11">
        <v>45000</v>
      </c>
      <c r="AF596" s="23">
        <v>102.375</v>
      </c>
      <c r="AG596" s="6"/>
      <c r="AH596" s="5" t="s">
        <v>2093</v>
      </c>
      <c r="AI596" s="5" t="s">
        <v>3404</v>
      </c>
      <c r="AJ596" s="5" t="s">
        <v>928</v>
      </c>
      <c r="AK596" s="16" t="s">
        <v>3</v>
      </c>
      <c r="AL596" s="65" t="s">
        <v>3842</v>
      </c>
      <c r="AM596" s="31" t="s">
        <v>276</v>
      </c>
    </row>
    <row r="597" spans="2:39" x14ac:dyDescent="0.25">
      <c r="B597" s="18" t="s">
        <v>1447</v>
      </c>
      <c r="C597" s="44" t="s">
        <v>3648</v>
      </c>
      <c r="D597" s="20" t="s">
        <v>2094</v>
      </c>
      <c r="E597" s="67" t="s">
        <v>3</v>
      </c>
      <c r="F597" s="51" t="s">
        <v>3</v>
      </c>
      <c r="G597" s="37" t="s">
        <v>3842</v>
      </c>
      <c r="H597" s="68" t="s">
        <v>2715</v>
      </c>
      <c r="I597" s="62" t="s">
        <v>3538</v>
      </c>
      <c r="J597" s="61" t="s">
        <v>250</v>
      </c>
      <c r="K597" s="4">
        <v>4988500</v>
      </c>
      <c r="L597" s="39">
        <v>106.646</v>
      </c>
      <c r="M597" s="4">
        <v>5332300</v>
      </c>
      <c r="N597" s="4">
        <v>5000000</v>
      </c>
      <c r="O597" s="4">
        <v>4992329</v>
      </c>
      <c r="P597" s="4">
        <v>0</v>
      </c>
      <c r="Q597" s="4">
        <v>2146</v>
      </c>
      <c r="R597" s="4">
        <v>0</v>
      </c>
      <c r="S597" s="4">
        <v>0</v>
      </c>
      <c r="T597" s="23">
        <v>2.625</v>
      </c>
      <c r="U597" s="23">
        <v>2.673</v>
      </c>
      <c r="V597" s="5" t="s">
        <v>3312</v>
      </c>
      <c r="W597" s="4">
        <v>16771</v>
      </c>
      <c r="X597" s="4">
        <v>131250</v>
      </c>
      <c r="Y597" s="11">
        <v>43551</v>
      </c>
      <c r="Z597" s="11">
        <v>45427</v>
      </c>
      <c r="AA597" s="2"/>
      <c r="AB597" s="63" t="s">
        <v>3840</v>
      </c>
      <c r="AC597" s="5" t="s">
        <v>4198</v>
      </c>
      <c r="AD597" s="2"/>
      <c r="AE597" s="11">
        <v>45366</v>
      </c>
      <c r="AF597" s="23">
        <v>100</v>
      </c>
      <c r="AG597" s="9"/>
      <c r="AH597" s="5" t="s">
        <v>1228</v>
      </c>
      <c r="AI597" s="5" t="s">
        <v>2094</v>
      </c>
      <c r="AJ597" s="5" t="s">
        <v>3</v>
      </c>
      <c r="AK597" s="16" t="s">
        <v>3</v>
      </c>
      <c r="AL597" s="65" t="s">
        <v>3842</v>
      </c>
      <c r="AM597" s="31" t="s">
        <v>1161</v>
      </c>
    </row>
    <row r="598" spans="2:39" x14ac:dyDescent="0.25">
      <c r="B598" s="18" t="s">
        <v>2879</v>
      </c>
      <c r="C598" s="44" t="s">
        <v>1229</v>
      </c>
      <c r="D598" s="20" t="s">
        <v>1230</v>
      </c>
      <c r="E598" s="67" t="s">
        <v>3</v>
      </c>
      <c r="F598" s="51" t="s">
        <v>3</v>
      </c>
      <c r="G598" s="37" t="s">
        <v>2715</v>
      </c>
      <c r="H598" s="68" t="s">
        <v>3842</v>
      </c>
      <c r="I598" s="62" t="s">
        <v>3310</v>
      </c>
      <c r="J598" s="61" t="s">
        <v>250</v>
      </c>
      <c r="K598" s="4">
        <v>4882528</v>
      </c>
      <c r="L598" s="39">
        <v>105.455</v>
      </c>
      <c r="M598" s="4">
        <v>5167295</v>
      </c>
      <c r="N598" s="4">
        <v>4900000</v>
      </c>
      <c r="O598" s="4">
        <v>4894424</v>
      </c>
      <c r="P598" s="4">
        <v>0</v>
      </c>
      <c r="Q598" s="4">
        <v>2275</v>
      </c>
      <c r="R598" s="4">
        <v>0</v>
      </c>
      <c r="S598" s="4">
        <v>0</v>
      </c>
      <c r="T598" s="23">
        <v>3</v>
      </c>
      <c r="U598" s="23">
        <v>3.0510000000000002</v>
      </c>
      <c r="V598" s="5" t="s">
        <v>3843</v>
      </c>
      <c r="W598" s="4">
        <v>31033</v>
      </c>
      <c r="X598" s="4">
        <v>147000</v>
      </c>
      <c r="Y598" s="11">
        <v>43551</v>
      </c>
      <c r="Z598" s="11">
        <v>45031</v>
      </c>
      <c r="AA598" s="2"/>
      <c r="AB598" s="63" t="s">
        <v>3840</v>
      </c>
      <c r="AC598" s="5" t="s">
        <v>4198</v>
      </c>
      <c r="AD598" s="2"/>
      <c r="AE598" s="11">
        <v>44972</v>
      </c>
      <c r="AF598" s="23">
        <v>100</v>
      </c>
      <c r="AG598" s="10">
        <v>44972</v>
      </c>
      <c r="AH598" s="5" t="s">
        <v>1790</v>
      </c>
      <c r="AI598" s="5" t="s">
        <v>2095</v>
      </c>
      <c r="AJ598" s="5" t="s">
        <v>2095</v>
      </c>
      <c r="AK598" s="16" t="s">
        <v>3</v>
      </c>
      <c r="AL598" s="65" t="s">
        <v>3842</v>
      </c>
      <c r="AM598" s="31" t="s">
        <v>1651</v>
      </c>
    </row>
    <row r="599" spans="2:39" x14ac:dyDescent="0.25">
      <c r="B599" s="18" t="s">
        <v>3987</v>
      </c>
      <c r="C599" s="44" t="s">
        <v>3188</v>
      </c>
      <c r="D599" s="20" t="s">
        <v>1230</v>
      </c>
      <c r="E599" s="67" t="s">
        <v>3</v>
      </c>
      <c r="F599" s="51" t="s">
        <v>3</v>
      </c>
      <c r="G599" s="37" t="s">
        <v>2715</v>
      </c>
      <c r="H599" s="68" t="s">
        <v>3842</v>
      </c>
      <c r="I599" s="62" t="s">
        <v>3310</v>
      </c>
      <c r="J599" s="61" t="s">
        <v>250</v>
      </c>
      <c r="K599" s="4">
        <v>1500000</v>
      </c>
      <c r="L599" s="39">
        <v>113.765</v>
      </c>
      <c r="M599" s="4">
        <v>1706475</v>
      </c>
      <c r="N599" s="4">
        <v>1500000</v>
      </c>
      <c r="O599" s="4">
        <v>1500000</v>
      </c>
      <c r="P599" s="4">
        <v>0</v>
      </c>
      <c r="Q599" s="4">
        <v>0</v>
      </c>
      <c r="R599" s="4">
        <v>0</v>
      </c>
      <c r="S599" s="4">
        <v>0</v>
      </c>
      <c r="T599" s="23">
        <v>4.133</v>
      </c>
      <c r="U599" s="23">
        <v>4.133</v>
      </c>
      <c r="V599" s="5" t="s">
        <v>12</v>
      </c>
      <c r="W599" s="4">
        <v>16532</v>
      </c>
      <c r="X599" s="4">
        <v>30998</v>
      </c>
      <c r="Y599" s="11">
        <v>43913</v>
      </c>
      <c r="Z599" s="11">
        <v>45741</v>
      </c>
      <c r="AA599" s="2"/>
      <c r="AB599" s="63" t="s">
        <v>3840</v>
      </c>
      <c r="AC599" s="5" t="s">
        <v>4198</v>
      </c>
      <c r="AD599" s="2"/>
      <c r="AE599" s="11">
        <v>45713</v>
      </c>
      <c r="AF599" s="23">
        <v>100</v>
      </c>
      <c r="AG599" s="9"/>
      <c r="AH599" s="5" t="s">
        <v>1790</v>
      </c>
      <c r="AI599" s="5" t="s">
        <v>2095</v>
      </c>
      <c r="AJ599" s="5" t="s">
        <v>2095</v>
      </c>
      <c r="AK599" s="16" t="s">
        <v>3</v>
      </c>
      <c r="AL599" s="65" t="s">
        <v>3842</v>
      </c>
      <c r="AM599" s="31" t="s">
        <v>1651</v>
      </c>
    </row>
    <row r="600" spans="2:39" x14ac:dyDescent="0.25">
      <c r="B600" s="18" t="s">
        <v>684</v>
      </c>
      <c r="C600" s="44" t="s">
        <v>2880</v>
      </c>
      <c r="D600" s="20" t="s">
        <v>1021</v>
      </c>
      <c r="E600" s="67" t="s">
        <v>3</v>
      </c>
      <c r="F600" s="51" t="s">
        <v>3</v>
      </c>
      <c r="G600" s="37" t="s">
        <v>2715</v>
      </c>
      <c r="H600" s="68" t="s">
        <v>2715</v>
      </c>
      <c r="I600" s="62" t="s">
        <v>3538</v>
      </c>
      <c r="J600" s="61" t="s">
        <v>250</v>
      </c>
      <c r="K600" s="4">
        <v>4987800</v>
      </c>
      <c r="L600" s="39">
        <v>108.509</v>
      </c>
      <c r="M600" s="4">
        <v>5425450</v>
      </c>
      <c r="N600" s="4">
        <v>5000000</v>
      </c>
      <c r="O600" s="4">
        <v>4992658</v>
      </c>
      <c r="P600" s="4">
        <v>0</v>
      </c>
      <c r="Q600" s="4">
        <v>2200</v>
      </c>
      <c r="R600" s="4">
        <v>0</v>
      </c>
      <c r="S600" s="4">
        <v>0</v>
      </c>
      <c r="T600" s="23">
        <v>3.25</v>
      </c>
      <c r="U600" s="23">
        <v>3.3</v>
      </c>
      <c r="V600" s="5" t="s">
        <v>248</v>
      </c>
      <c r="W600" s="4">
        <v>61840</v>
      </c>
      <c r="X600" s="4">
        <v>162500</v>
      </c>
      <c r="Y600" s="11">
        <v>43354</v>
      </c>
      <c r="Z600" s="11">
        <v>45336</v>
      </c>
      <c r="AA600" s="2"/>
      <c r="AB600" s="63" t="s">
        <v>3840</v>
      </c>
      <c r="AC600" s="5" t="s">
        <v>4198</v>
      </c>
      <c r="AD600" s="2"/>
      <c r="AE600" s="11">
        <v>45305</v>
      </c>
      <c r="AF600" s="23">
        <v>100</v>
      </c>
      <c r="AG600" s="9"/>
      <c r="AH600" s="5" t="s">
        <v>1791</v>
      </c>
      <c r="AI600" s="5" t="s">
        <v>1021</v>
      </c>
      <c r="AJ600" s="5" t="s">
        <v>3</v>
      </c>
      <c r="AK600" s="16" t="s">
        <v>3</v>
      </c>
      <c r="AL600" s="65" t="s">
        <v>3842</v>
      </c>
      <c r="AM600" s="31" t="s">
        <v>1161</v>
      </c>
    </row>
    <row r="601" spans="2:39" x14ac:dyDescent="0.25">
      <c r="B601" s="18" t="s">
        <v>1792</v>
      </c>
      <c r="C601" s="44" t="s">
        <v>3405</v>
      </c>
      <c r="D601" s="20" t="s">
        <v>1231</v>
      </c>
      <c r="E601" s="67" t="s">
        <v>3</v>
      </c>
      <c r="F601" s="51" t="s">
        <v>3</v>
      </c>
      <c r="G601" s="37" t="s">
        <v>2715</v>
      </c>
      <c r="H601" s="68" t="s">
        <v>3842</v>
      </c>
      <c r="I601" s="62" t="s">
        <v>1157</v>
      </c>
      <c r="J601" s="61" t="s">
        <v>250</v>
      </c>
      <c r="K601" s="4">
        <v>2821676</v>
      </c>
      <c r="L601" s="39">
        <v>106.95</v>
      </c>
      <c r="M601" s="4">
        <v>2967863</v>
      </c>
      <c r="N601" s="4">
        <v>2775000</v>
      </c>
      <c r="O601" s="4">
        <v>2799540</v>
      </c>
      <c r="P601" s="4">
        <v>0</v>
      </c>
      <c r="Q601" s="4">
        <v>-6753</v>
      </c>
      <c r="R601" s="4">
        <v>0</v>
      </c>
      <c r="S601" s="4">
        <v>0</v>
      </c>
      <c r="T601" s="23">
        <v>3.875</v>
      </c>
      <c r="U601" s="23">
        <v>3.593</v>
      </c>
      <c r="V601" s="5" t="s">
        <v>12</v>
      </c>
      <c r="W601" s="4">
        <v>35844</v>
      </c>
      <c r="X601" s="4">
        <v>107531</v>
      </c>
      <c r="Y601" s="11">
        <v>42935</v>
      </c>
      <c r="Z601" s="11">
        <v>45536</v>
      </c>
      <c r="AA601" s="2"/>
      <c r="AB601" s="63" t="s">
        <v>3840</v>
      </c>
      <c r="AC601" s="5" t="s">
        <v>4198</v>
      </c>
      <c r="AD601" s="2"/>
      <c r="AE601" s="11">
        <v>45444</v>
      </c>
      <c r="AF601" s="23">
        <v>100</v>
      </c>
      <c r="AG601" s="10">
        <v>45444</v>
      </c>
      <c r="AH601" s="5" t="s">
        <v>1232</v>
      </c>
      <c r="AI601" s="5" t="s">
        <v>1231</v>
      </c>
      <c r="AJ601" s="5" t="s">
        <v>3</v>
      </c>
      <c r="AK601" s="16" t="s">
        <v>3</v>
      </c>
      <c r="AL601" s="65" t="s">
        <v>3842</v>
      </c>
      <c r="AM601" s="31" t="s">
        <v>926</v>
      </c>
    </row>
    <row r="602" spans="2:39" x14ac:dyDescent="0.25">
      <c r="B602" s="18" t="s">
        <v>2881</v>
      </c>
      <c r="C602" s="44" t="s">
        <v>2096</v>
      </c>
      <c r="D602" s="20" t="s">
        <v>3988</v>
      </c>
      <c r="E602" s="67" t="s">
        <v>3</v>
      </c>
      <c r="F602" s="51" t="s">
        <v>3</v>
      </c>
      <c r="G602" s="37" t="s">
        <v>3</v>
      </c>
      <c r="H602" s="68" t="s">
        <v>2715</v>
      </c>
      <c r="I602" s="62" t="s">
        <v>3538</v>
      </c>
      <c r="J602" s="61" t="s">
        <v>250</v>
      </c>
      <c r="K602" s="4">
        <v>10000000</v>
      </c>
      <c r="L602" s="39">
        <v>100.916</v>
      </c>
      <c r="M602" s="4">
        <v>10091600</v>
      </c>
      <c r="N602" s="4">
        <v>10000000</v>
      </c>
      <c r="O602" s="4">
        <v>10000000</v>
      </c>
      <c r="P602" s="4">
        <v>0</v>
      </c>
      <c r="Q602" s="4">
        <v>0</v>
      </c>
      <c r="R602" s="4">
        <v>0</v>
      </c>
      <c r="S602" s="4">
        <v>0</v>
      </c>
      <c r="T602" s="23">
        <v>2.75</v>
      </c>
      <c r="U602" s="23">
        <v>2.75</v>
      </c>
      <c r="V602" s="5" t="s">
        <v>3312</v>
      </c>
      <c r="W602" s="4">
        <v>33611</v>
      </c>
      <c r="X602" s="4">
        <v>275000</v>
      </c>
      <c r="Y602" s="11">
        <v>41772</v>
      </c>
      <c r="Z602" s="11">
        <v>44333</v>
      </c>
      <c r="AA602" s="2"/>
      <c r="AB602" s="63" t="s">
        <v>3840</v>
      </c>
      <c r="AC602" s="5" t="s">
        <v>4198</v>
      </c>
      <c r="AD602" s="2"/>
      <c r="AE602" s="6"/>
      <c r="AF602" s="23"/>
      <c r="AG602" s="6"/>
      <c r="AH602" s="5" t="s">
        <v>685</v>
      </c>
      <c r="AI602" s="5" t="s">
        <v>3988</v>
      </c>
      <c r="AJ602" s="5" t="s">
        <v>3</v>
      </c>
      <c r="AK602" s="16" t="s">
        <v>3</v>
      </c>
      <c r="AL602" s="65" t="s">
        <v>3842</v>
      </c>
      <c r="AM602" s="31" t="s">
        <v>1161</v>
      </c>
    </row>
    <row r="603" spans="2:39" x14ac:dyDescent="0.25">
      <c r="B603" s="18" t="s">
        <v>3989</v>
      </c>
      <c r="C603" s="44" t="s">
        <v>376</v>
      </c>
      <c r="D603" s="20" t="s">
        <v>3988</v>
      </c>
      <c r="E603" s="67" t="s">
        <v>3</v>
      </c>
      <c r="F603" s="51" t="s">
        <v>3</v>
      </c>
      <c r="G603" s="37" t="s">
        <v>2715</v>
      </c>
      <c r="H603" s="68" t="s">
        <v>2715</v>
      </c>
      <c r="I603" s="62" t="s">
        <v>3538</v>
      </c>
      <c r="J603" s="61" t="s">
        <v>250</v>
      </c>
      <c r="K603" s="4">
        <v>1417740</v>
      </c>
      <c r="L603" s="39">
        <v>105.184</v>
      </c>
      <c r="M603" s="4">
        <v>1577760</v>
      </c>
      <c r="N603" s="4">
        <v>1500000</v>
      </c>
      <c r="O603" s="4">
        <v>1454754</v>
      </c>
      <c r="P603" s="4">
        <v>0</v>
      </c>
      <c r="Q603" s="4">
        <v>15176</v>
      </c>
      <c r="R603" s="4">
        <v>0</v>
      </c>
      <c r="S603" s="4">
        <v>0</v>
      </c>
      <c r="T603" s="23">
        <v>2.25</v>
      </c>
      <c r="U603" s="23">
        <v>3.39</v>
      </c>
      <c r="V603" s="5" t="s">
        <v>3843</v>
      </c>
      <c r="W603" s="4">
        <v>6844</v>
      </c>
      <c r="X603" s="4">
        <v>33750</v>
      </c>
      <c r="Y603" s="11">
        <v>43278</v>
      </c>
      <c r="Z603" s="11">
        <v>45217</v>
      </c>
      <c r="AA603" s="2"/>
      <c r="AB603" s="63" t="s">
        <v>3840</v>
      </c>
      <c r="AC603" s="5" t="s">
        <v>4198</v>
      </c>
      <c r="AD603" s="2"/>
      <c r="AE603" s="6"/>
      <c r="AF603" s="23"/>
      <c r="AG603" s="6"/>
      <c r="AH603" s="5" t="s">
        <v>685</v>
      </c>
      <c r="AI603" s="5" t="s">
        <v>3988</v>
      </c>
      <c r="AJ603" s="5" t="s">
        <v>3</v>
      </c>
      <c r="AK603" s="16" t="s">
        <v>3</v>
      </c>
      <c r="AL603" s="65" t="s">
        <v>3842</v>
      </c>
      <c r="AM603" s="31" t="s">
        <v>1161</v>
      </c>
    </row>
    <row r="604" spans="2:39" x14ac:dyDescent="0.25">
      <c r="B604" s="18" t="s">
        <v>1448</v>
      </c>
      <c r="C604" s="44" t="s">
        <v>2540</v>
      </c>
      <c r="D604" s="20" t="s">
        <v>3988</v>
      </c>
      <c r="E604" s="67" t="s">
        <v>3</v>
      </c>
      <c r="F604" s="51" t="s">
        <v>3</v>
      </c>
      <c r="G604" s="37" t="s">
        <v>2715</v>
      </c>
      <c r="H604" s="68" t="s">
        <v>2715</v>
      </c>
      <c r="I604" s="62" t="s">
        <v>3538</v>
      </c>
      <c r="J604" s="61" t="s">
        <v>250</v>
      </c>
      <c r="K604" s="4">
        <v>3401650</v>
      </c>
      <c r="L604" s="39">
        <v>107.765</v>
      </c>
      <c r="M604" s="4">
        <v>3771775</v>
      </c>
      <c r="N604" s="4">
        <v>3500000</v>
      </c>
      <c r="O604" s="4">
        <v>3441767</v>
      </c>
      <c r="P604" s="4">
        <v>0</v>
      </c>
      <c r="Q604" s="4">
        <v>16426</v>
      </c>
      <c r="R604" s="4">
        <v>0</v>
      </c>
      <c r="S604" s="4">
        <v>0</v>
      </c>
      <c r="T604" s="23">
        <v>2.9</v>
      </c>
      <c r="U604" s="23">
        <v>3.4390000000000001</v>
      </c>
      <c r="V604" s="5" t="s">
        <v>3843</v>
      </c>
      <c r="W604" s="4">
        <v>20864</v>
      </c>
      <c r="X604" s="4">
        <v>101500</v>
      </c>
      <c r="Y604" s="11">
        <v>43278</v>
      </c>
      <c r="Z604" s="11">
        <v>45399</v>
      </c>
      <c r="AA604" s="2"/>
      <c r="AB604" s="63" t="s">
        <v>3840</v>
      </c>
      <c r="AC604" s="5" t="s">
        <v>4198</v>
      </c>
      <c r="AD604" s="2"/>
      <c r="AE604" s="6"/>
      <c r="AF604" s="23"/>
      <c r="AG604" s="6"/>
      <c r="AH604" s="5" t="s">
        <v>685</v>
      </c>
      <c r="AI604" s="5" t="s">
        <v>3988</v>
      </c>
      <c r="AJ604" s="5" t="s">
        <v>3</v>
      </c>
      <c r="AK604" s="16" t="s">
        <v>3</v>
      </c>
      <c r="AL604" s="65" t="s">
        <v>3842</v>
      </c>
      <c r="AM604" s="31" t="s">
        <v>1161</v>
      </c>
    </row>
    <row r="605" spans="2:39" x14ac:dyDescent="0.25">
      <c r="B605" s="18" t="s">
        <v>2541</v>
      </c>
      <c r="C605" s="44" t="s">
        <v>2307</v>
      </c>
      <c r="D605" s="20" t="s">
        <v>3988</v>
      </c>
      <c r="E605" s="67" t="s">
        <v>3</v>
      </c>
      <c r="F605" s="51" t="s">
        <v>3</v>
      </c>
      <c r="G605" s="37" t="s">
        <v>2715</v>
      </c>
      <c r="H605" s="68" t="s">
        <v>2715</v>
      </c>
      <c r="I605" s="62" t="s">
        <v>3538</v>
      </c>
      <c r="J605" s="61" t="s">
        <v>250</v>
      </c>
      <c r="K605" s="4">
        <v>4997650</v>
      </c>
      <c r="L605" s="39">
        <v>100.634</v>
      </c>
      <c r="M605" s="4">
        <v>5031700</v>
      </c>
      <c r="N605" s="4">
        <v>5000000</v>
      </c>
      <c r="O605" s="4">
        <v>4997773</v>
      </c>
      <c r="P605" s="4">
        <v>0</v>
      </c>
      <c r="Q605" s="4">
        <v>123</v>
      </c>
      <c r="R605" s="4">
        <v>0</v>
      </c>
      <c r="S605" s="4">
        <v>0</v>
      </c>
      <c r="T605" s="23">
        <v>1.1499999999999999</v>
      </c>
      <c r="U605" s="23">
        <v>1.157</v>
      </c>
      <c r="V605" s="5" t="s">
        <v>248</v>
      </c>
      <c r="W605" s="4">
        <v>21882</v>
      </c>
      <c r="X605" s="4">
        <v>0</v>
      </c>
      <c r="Y605" s="11">
        <v>44054</v>
      </c>
      <c r="Z605" s="11">
        <v>46612</v>
      </c>
      <c r="AA605" s="2"/>
      <c r="AB605" s="63" t="s">
        <v>3840</v>
      </c>
      <c r="AC605" s="5" t="s">
        <v>4198</v>
      </c>
      <c r="AD605" s="2"/>
      <c r="AE605" s="9"/>
      <c r="AF605" s="23"/>
      <c r="AG605" s="6"/>
      <c r="AH605" s="5" t="s">
        <v>685</v>
      </c>
      <c r="AI605" s="5" t="s">
        <v>3988</v>
      </c>
      <c r="AJ605" s="5" t="s">
        <v>3</v>
      </c>
      <c r="AK605" s="16" t="s">
        <v>3</v>
      </c>
      <c r="AL605" s="65" t="s">
        <v>3842</v>
      </c>
      <c r="AM605" s="31" t="s">
        <v>1161</v>
      </c>
    </row>
    <row r="606" spans="2:39" x14ac:dyDescent="0.25">
      <c r="B606" s="18" t="s">
        <v>3990</v>
      </c>
      <c r="C606" s="44" t="s">
        <v>107</v>
      </c>
      <c r="D606" s="20" t="s">
        <v>1184</v>
      </c>
      <c r="E606" s="67" t="s">
        <v>3</v>
      </c>
      <c r="F606" s="51" t="s">
        <v>3</v>
      </c>
      <c r="G606" s="37" t="s">
        <v>3842</v>
      </c>
      <c r="H606" s="68" t="s">
        <v>2715</v>
      </c>
      <c r="I606" s="62" t="s">
        <v>1358</v>
      </c>
      <c r="J606" s="61" t="s">
        <v>250</v>
      </c>
      <c r="K606" s="4">
        <v>3995760</v>
      </c>
      <c r="L606" s="39">
        <v>102.504</v>
      </c>
      <c r="M606" s="4">
        <v>4100160</v>
      </c>
      <c r="N606" s="4">
        <v>4000000</v>
      </c>
      <c r="O606" s="4">
        <v>3996236</v>
      </c>
      <c r="P606" s="4">
        <v>0</v>
      </c>
      <c r="Q606" s="4">
        <v>476</v>
      </c>
      <c r="R606" s="4">
        <v>0</v>
      </c>
      <c r="S606" s="4">
        <v>0</v>
      </c>
      <c r="T606" s="23">
        <v>1.2</v>
      </c>
      <c r="U606" s="23">
        <v>1.2210000000000001</v>
      </c>
      <c r="V606" s="5" t="s">
        <v>248</v>
      </c>
      <c r="W606" s="4">
        <v>27467</v>
      </c>
      <c r="X606" s="4">
        <v>0</v>
      </c>
      <c r="Y606" s="11">
        <v>43984</v>
      </c>
      <c r="Z606" s="11">
        <v>45874</v>
      </c>
      <c r="AA606" s="2"/>
      <c r="AB606" s="63" t="s">
        <v>3840</v>
      </c>
      <c r="AC606" s="5" t="s">
        <v>4198</v>
      </c>
      <c r="AD606" s="2"/>
      <c r="AE606" s="11">
        <v>45844</v>
      </c>
      <c r="AF606" s="23">
        <v>100</v>
      </c>
      <c r="AG606" s="6"/>
      <c r="AH606" s="5" t="s">
        <v>3102</v>
      </c>
      <c r="AI606" s="5" t="s">
        <v>1184</v>
      </c>
      <c r="AJ606" s="5" t="s">
        <v>3</v>
      </c>
      <c r="AK606" s="16" t="s">
        <v>3</v>
      </c>
      <c r="AL606" s="65" t="s">
        <v>3842</v>
      </c>
      <c r="AM606" s="31" t="s">
        <v>559</v>
      </c>
    </row>
    <row r="607" spans="2:39" x14ac:dyDescent="0.25">
      <c r="B607" s="18" t="s">
        <v>686</v>
      </c>
      <c r="C607" s="44" t="s">
        <v>377</v>
      </c>
      <c r="D607" s="20" t="s">
        <v>108</v>
      </c>
      <c r="E607" s="67" t="s">
        <v>3</v>
      </c>
      <c r="F607" s="51" t="s">
        <v>3</v>
      </c>
      <c r="G607" s="37" t="s">
        <v>2715</v>
      </c>
      <c r="H607" s="68" t="s">
        <v>3842</v>
      </c>
      <c r="I607" s="62" t="s">
        <v>10</v>
      </c>
      <c r="J607" s="61" t="s">
        <v>250</v>
      </c>
      <c r="K607" s="4">
        <v>4993050</v>
      </c>
      <c r="L607" s="39">
        <v>108.94499999999999</v>
      </c>
      <c r="M607" s="4">
        <v>5447250</v>
      </c>
      <c r="N607" s="4">
        <v>5000000</v>
      </c>
      <c r="O607" s="4">
        <v>4996024</v>
      </c>
      <c r="P607" s="4">
        <v>0</v>
      </c>
      <c r="Q607" s="4">
        <v>1348</v>
      </c>
      <c r="R607" s="4">
        <v>0</v>
      </c>
      <c r="S607" s="4">
        <v>0</v>
      </c>
      <c r="T607" s="23">
        <v>3.9</v>
      </c>
      <c r="U607" s="23">
        <v>3.931</v>
      </c>
      <c r="V607" s="5" t="s">
        <v>12</v>
      </c>
      <c r="W607" s="4">
        <v>50375</v>
      </c>
      <c r="X607" s="4">
        <v>195000</v>
      </c>
      <c r="Y607" s="11">
        <v>43368</v>
      </c>
      <c r="Z607" s="11">
        <v>45197</v>
      </c>
      <c r="AA607" s="2"/>
      <c r="AB607" s="63" t="s">
        <v>3840</v>
      </c>
      <c r="AC607" s="5" t="s">
        <v>4198</v>
      </c>
      <c r="AD607" s="2"/>
      <c r="AE607" s="11">
        <v>45161</v>
      </c>
      <c r="AF607" s="23">
        <v>100</v>
      </c>
      <c r="AG607" s="6"/>
      <c r="AH607" s="5" t="s">
        <v>3</v>
      </c>
      <c r="AI607" s="5" t="s">
        <v>108</v>
      </c>
      <c r="AJ607" s="5" t="s">
        <v>3</v>
      </c>
      <c r="AK607" s="16" t="s">
        <v>3</v>
      </c>
      <c r="AL607" s="65" t="s">
        <v>3842</v>
      </c>
      <c r="AM607" s="31" t="s">
        <v>1176</v>
      </c>
    </row>
    <row r="608" spans="2:39" x14ac:dyDescent="0.25">
      <c r="B608" s="18" t="s">
        <v>1793</v>
      </c>
      <c r="C608" s="44" t="s">
        <v>109</v>
      </c>
      <c r="D608" s="20" t="s">
        <v>108</v>
      </c>
      <c r="E608" s="67" t="s">
        <v>3</v>
      </c>
      <c r="F608" s="51" t="s">
        <v>3</v>
      </c>
      <c r="G608" s="37" t="s">
        <v>2715</v>
      </c>
      <c r="H608" s="68" t="s">
        <v>3842</v>
      </c>
      <c r="I608" s="62" t="s">
        <v>10</v>
      </c>
      <c r="J608" s="61" t="s">
        <v>250</v>
      </c>
      <c r="K608" s="4">
        <v>4982350</v>
      </c>
      <c r="L608" s="39">
        <v>114.931</v>
      </c>
      <c r="M608" s="4">
        <v>5746550</v>
      </c>
      <c r="N608" s="4">
        <v>5000000</v>
      </c>
      <c r="O608" s="4">
        <v>4986616</v>
      </c>
      <c r="P608" s="4">
        <v>0</v>
      </c>
      <c r="Q608" s="4">
        <v>2285</v>
      </c>
      <c r="R608" s="4">
        <v>0</v>
      </c>
      <c r="S608" s="4">
        <v>0</v>
      </c>
      <c r="T608" s="23">
        <v>4</v>
      </c>
      <c r="U608" s="23">
        <v>4.0579999999999998</v>
      </c>
      <c r="V608" s="5" t="s">
        <v>12</v>
      </c>
      <c r="W608" s="4">
        <v>66667</v>
      </c>
      <c r="X608" s="4">
        <v>200000</v>
      </c>
      <c r="Y608" s="11">
        <v>43509</v>
      </c>
      <c r="Z608" s="11">
        <v>46082</v>
      </c>
      <c r="AA608" s="2"/>
      <c r="AB608" s="63" t="s">
        <v>3840</v>
      </c>
      <c r="AC608" s="5" t="s">
        <v>4198</v>
      </c>
      <c r="AD608" s="2"/>
      <c r="AE608" s="11">
        <v>46023</v>
      </c>
      <c r="AF608" s="23">
        <v>100</v>
      </c>
      <c r="AG608" s="6"/>
      <c r="AH608" s="5" t="s">
        <v>3</v>
      </c>
      <c r="AI608" s="5" t="s">
        <v>108</v>
      </c>
      <c r="AJ608" s="5" t="s">
        <v>3</v>
      </c>
      <c r="AK608" s="16" t="s">
        <v>3</v>
      </c>
      <c r="AL608" s="65" t="s">
        <v>3842</v>
      </c>
      <c r="AM608" s="31" t="s">
        <v>1176</v>
      </c>
    </row>
    <row r="609" spans="2:39" x14ac:dyDescent="0.25">
      <c r="B609" s="18" t="s">
        <v>2882</v>
      </c>
      <c r="C609" s="44" t="s">
        <v>3406</v>
      </c>
      <c r="D609" s="20" t="s">
        <v>378</v>
      </c>
      <c r="E609" s="67" t="s">
        <v>3</v>
      </c>
      <c r="F609" s="51" t="s">
        <v>3</v>
      </c>
      <c r="G609" s="37" t="s">
        <v>3842</v>
      </c>
      <c r="H609" s="68" t="s">
        <v>2715</v>
      </c>
      <c r="I609" s="62" t="s">
        <v>2218</v>
      </c>
      <c r="J609" s="61" t="s">
        <v>250</v>
      </c>
      <c r="K609" s="4">
        <v>954690</v>
      </c>
      <c r="L609" s="39">
        <v>108.77</v>
      </c>
      <c r="M609" s="4">
        <v>1087700</v>
      </c>
      <c r="N609" s="4">
        <v>1000000</v>
      </c>
      <c r="O609" s="4">
        <v>970695</v>
      </c>
      <c r="P609" s="4">
        <v>0</v>
      </c>
      <c r="Q609" s="4">
        <v>6573</v>
      </c>
      <c r="R609" s="4">
        <v>0</v>
      </c>
      <c r="S609" s="4">
        <v>0</v>
      </c>
      <c r="T609" s="23">
        <v>2.8</v>
      </c>
      <c r="U609" s="23">
        <v>3.58</v>
      </c>
      <c r="V609" s="5" t="s">
        <v>1982</v>
      </c>
      <c r="W609" s="4">
        <v>11978</v>
      </c>
      <c r="X609" s="4">
        <v>28000</v>
      </c>
      <c r="Y609" s="11">
        <v>43278</v>
      </c>
      <c r="Z609" s="11">
        <v>45684</v>
      </c>
      <c r="AA609" s="2"/>
      <c r="AB609" s="63" t="s">
        <v>3840</v>
      </c>
      <c r="AC609" s="5" t="s">
        <v>4198</v>
      </c>
      <c r="AD609" s="2"/>
      <c r="AE609" s="10">
        <v>45653</v>
      </c>
      <c r="AF609" s="23">
        <v>100</v>
      </c>
      <c r="AG609" s="6"/>
      <c r="AH609" s="5" t="s">
        <v>1022</v>
      </c>
      <c r="AI609" s="5" t="s">
        <v>3407</v>
      </c>
      <c r="AJ609" s="5" t="s">
        <v>2308</v>
      </c>
      <c r="AK609" s="16" t="s">
        <v>3</v>
      </c>
      <c r="AL609" s="65" t="s">
        <v>3842</v>
      </c>
      <c r="AM609" s="31" t="s">
        <v>1351</v>
      </c>
    </row>
    <row r="610" spans="2:39" x14ac:dyDescent="0.25">
      <c r="B610" s="18" t="s">
        <v>3991</v>
      </c>
      <c r="C610" s="44" t="s">
        <v>110</v>
      </c>
      <c r="D610" s="20" t="s">
        <v>3649</v>
      </c>
      <c r="E610" s="67" t="s">
        <v>3</v>
      </c>
      <c r="F610" s="51" t="s">
        <v>3</v>
      </c>
      <c r="G610" s="37" t="s">
        <v>3842</v>
      </c>
      <c r="H610" s="68" t="s">
        <v>2715</v>
      </c>
      <c r="I610" s="62" t="s">
        <v>2218</v>
      </c>
      <c r="J610" s="61" t="s">
        <v>250</v>
      </c>
      <c r="K610" s="4">
        <v>4989350</v>
      </c>
      <c r="L610" s="39">
        <v>105.76</v>
      </c>
      <c r="M610" s="4">
        <v>5288000</v>
      </c>
      <c r="N610" s="4">
        <v>5000000</v>
      </c>
      <c r="O610" s="4">
        <v>4991278</v>
      </c>
      <c r="P610" s="4">
        <v>0</v>
      </c>
      <c r="Q610" s="4">
        <v>1928</v>
      </c>
      <c r="R610" s="4">
        <v>0</v>
      </c>
      <c r="S610" s="4">
        <v>0</v>
      </c>
      <c r="T610" s="23">
        <v>2.0499999999999998</v>
      </c>
      <c r="U610" s="23">
        <v>2.0950000000000002</v>
      </c>
      <c r="V610" s="5" t="s">
        <v>1982</v>
      </c>
      <c r="W610" s="4">
        <v>45556</v>
      </c>
      <c r="X610" s="4">
        <v>51250</v>
      </c>
      <c r="Y610" s="11">
        <v>43846</v>
      </c>
      <c r="Z610" s="11">
        <v>45678</v>
      </c>
      <c r="AA610" s="2"/>
      <c r="AB610" s="63" t="s">
        <v>3840</v>
      </c>
      <c r="AC610" s="5" t="s">
        <v>4198</v>
      </c>
      <c r="AD610" s="2"/>
      <c r="AE610" s="10">
        <v>45646</v>
      </c>
      <c r="AF610" s="23">
        <v>100</v>
      </c>
      <c r="AG610" s="6"/>
      <c r="AH610" s="5" t="s">
        <v>1022</v>
      </c>
      <c r="AI610" s="5" t="s">
        <v>3407</v>
      </c>
      <c r="AJ610" s="5" t="s">
        <v>3992</v>
      </c>
      <c r="AK610" s="16" t="s">
        <v>3</v>
      </c>
      <c r="AL610" s="65" t="s">
        <v>3842</v>
      </c>
      <c r="AM610" s="31" t="s">
        <v>1351</v>
      </c>
    </row>
    <row r="611" spans="2:39" x14ac:dyDescent="0.25">
      <c r="B611" s="18" t="s">
        <v>687</v>
      </c>
      <c r="C611" s="44" t="s">
        <v>3993</v>
      </c>
      <c r="D611" s="20" t="s">
        <v>1794</v>
      </c>
      <c r="E611" s="67" t="s">
        <v>3</v>
      </c>
      <c r="F611" s="51" t="s">
        <v>3</v>
      </c>
      <c r="G611" s="37" t="s">
        <v>2715</v>
      </c>
      <c r="H611" s="68" t="s">
        <v>2715</v>
      </c>
      <c r="I611" s="62" t="s">
        <v>3538</v>
      </c>
      <c r="J611" s="61" t="s">
        <v>250</v>
      </c>
      <c r="K611" s="4">
        <v>8040200</v>
      </c>
      <c r="L611" s="39">
        <v>106.672</v>
      </c>
      <c r="M611" s="4">
        <v>8533760</v>
      </c>
      <c r="N611" s="4">
        <v>8000000</v>
      </c>
      <c r="O611" s="4">
        <v>8039402</v>
      </c>
      <c r="P611" s="4">
        <v>0</v>
      </c>
      <c r="Q611" s="4">
        <v>-12426</v>
      </c>
      <c r="R611" s="4">
        <v>0</v>
      </c>
      <c r="S611" s="4">
        <v>0</v>
      </c>
      <c r="T611" s="23">
        <v>2.6</v>
      </c>
      <c r="U611" s="23">
        <v>2.431</v>
      </c>
      <c r="V611" s="5" t="s">
        <v>3312</v>
      </c>
      <c r="W611" s="4">
        <v>32356</v>
      </c>
      <c r="X611" s="4">
        <v>208000</v>
      </c>
      <c r="Y611" s="11">
        <v>43711</v>
      </c>
      <c r="Z611" s="11">
        <v>45417</v>
      </c>
      <c r="AA611" s="2"/>
      <c r="AB611" s="63" t="s">
        <v>3840</v>
      </c>
      <c r="AC611" s="5" t="s">
        <v>4198</v>
      </c>
      <c r="AD611" s="2"/>
      <c r="AE611" s="10">
        <v>45356</v>
      </c>
      <c r="AF611" s="23">
        <v>100</v>
      </c>
      <c r="AG611" s="10">
        <v>45356</v>
      </c>
      <c r="AH611" s="5" t="s">
        <v>1023</v>
      </c>
      <c r="AI611" s="5" t="s">
        <v>1794</v>
      </c>
      <c r="AJ611" s="5" t="s">
        <v>3</v>
      </c>
      <c r="AK611" s="16" t="s">
        <v>3</v>
      </c>
      <c r="AL611" s="65" t="s">
        <v>3842</v>
      </c>
      <c r="AM611" s="31" t="s">
        <v>1161</v>
      </c>
    </row>
    <row r="612" spans="2:39" x14ac:dyDescent="0.25">
      <c r="B612" s="18" t="s">
        <v>1795</v>
      </c>
      <c r="C612" s="44" t="s">
        <v>111</v>
      </c>
      <c r="D612" s="20" t="s">
        <v>1794</v>
      </c>
      <c r="E612" s="67" t="s">
        <v>3</v>
      </c>
      <c r="F612" s="51" t="s">
        <v>3</v>
      </c>
      <c r="G612" s="37" t="s">
        <v>2715</v>
      </c>
      <c r="H612" s="68" t="s">
        <v>2715</v>
      </c>
      <c r="I612" s="62" t="s">
        <v>3538</v>
      </c>
      <c r="J612" s="61" t="s">
        <v>250</v>
      </c>
      <c r="K612" s="4">
        <v>5117200</v>
      </c>
      <c r="L612" s="39">
        <v>110.79</v>
      </c>
      <c r="M612" s="4">
        <v>5539500</v>
      </c>
      <c r="N612" s="4">
        <v>5000000</v>
      </c>
      <c r="O612" s="4">
        <v>5083845</v>
      </c>
      <c r="P612" s="4">
        <v>0</v>
      </c>
      <c r="Q612" s="4">
        <v>-19154</v>
      </c>
      <c r="R612" s="4">
        <v>0</v>
      </c>
      <c r="S612" s="4">
        <v>0</v>
      </c>
      <c r="T612" s="23">
        <v>3.375</v>
      </c>
      <c r="U612" s="23">
        <v>2.9340000000000002</v>
      </c>
      <c r="V612" s="5" t="s">
        <v>12</v>
      </c>
      <c r="W612" s="4">
        <v>46406</v>
      </c>
      <c r="X612" s="4">
        <v>168750</v>
      </c>
      <c r="Y612" s="11">
        <v>43551</v>
      </c>
      <c r="Z612" s="11">
        <v>45738</v>
      </c>
      <c r="AA612" s="2"/>
      <c r="AB612" s="63" t="s">
        <v>3840</v>
      </c>
      <c r="AC612" s="5" t="s">
        <v>4198</v>
      </c>
      <c r="AD612" s="2"/>
      <c r="AE612" s="10">
        <v>45679</v>
      </c>
      <c r="AF612" s="23">
        <v>100</v>
      </c>
      <c r="AG612" s="10">
        <v>45679</v>
      </c>
      <c r="AH612" s="5" t="s">
        <v>1023</v>
      </c>
      <c r="AI612" s="5" t="s">
        <v>1794</v>
      </c>
      <c r="AJ612" s="5" t="s">
        <v>3</v>
      </c>
      <c r="AK612" s="16" t="s">
        <v>3</v>
      </c>
      <c r="AL612" s="65" t="s">
        <v>3842</v>
      </c>
      <c r="AM612" s="31" t="s">
        <v>1161</v>
      </c>
    </row>
    <row r="613" spans="2:39" x14ac:dyDescent="0.25">
      <c r="B613" s="18" t="s">
        <v>2883</v>
      </c>
      <c r="C613" s="44" t="s">
        <v>1233</v>
      </c>
      <c r="D613" s="20" t="s">
        <v>1794</v>
      </c>
      <c r="E613" s="67" t="s">
        <v>3</v>
      </c>
      <c r="F613" s="51" t="s">
        <v>3</v>
      </c>
      <c r="G613" s="37" t="s">
        <v>2715</v>
      </c>
      <c r="H613" s="68" t="s">
        <v>2715</v>
      </c>
      <c r="I613" s="62" t="s">
        <v>3538</v>
      </c>
      <c r="J613" s="61" t="s">
        <v>250</v>
      </c>
      <c r="K613" s="4">
        <v>7000880</v>
      </c>
      <c r="L613" s="39">
        <v>108.545</v>
      </c>
      <c r="M613" s="4">
        <v>7598150</v>
      </c>
      <c r="N613" s="4">
        <v>7000000</v>
      </c>
      <c r="O613" s="4">
        <v>7002522</v>
      </c>
      <c r="P613" s="4">
        <v>0</v>
      </c>
      <c r="Q613" s="4">
        <v>-1007</v>
      </c>
      <c r="R613" s="4">
        <v>0</v>
      </c>
      <c r="S613" s="4">
        <v>0</v>
      </c>
      <c r="T613" s="23">
        <v>3.25</v>
      </c>
      <c r="U613" s="23">
        <v>3.234</v>
      </c>
      <c r="V613" s="5" t="s">
        <v>12</v>
      </c>
      <c r="W613" s="4">
        <v>72042</v>
      </c>
      <c r="X613" s="4">
        <v>227500</v>
      </c>
      <c r="Y613" s="11">
        <v>43553</v>
      </c>
      <c r="Z613" s="11">
        <v>45358</v>
      </c>
      <c r="AA613" s="2"/>
      <c r="AB613" s="63" t="s">
        <v>3840</v>
      </c>
      <c r="AC613" s="5" t="s">
        <v>4198</v>
      </c>
      <c r="AD613" s="2"/>
      <c r="AE613" s="11">
        <v>45329</v>
      </c>
      <c r="AF613" s="23">
        <v>100</v>
      </c>
      <c r="AG613" s="11">
        <v>45329</v>
      </c>
      <c r="AH613" s="5" t="s">
        <v>1023</v>
      </c>
      <c r="AI613" s="5" t="s">
        <v>1794</v>
      </c>
      <c r="AJ613" s="5" t="s">
        <v>3</v>
      </c>
      <c r="AK613" s="16" t="s">
        <v>3</v>
      </c>
      <c r="AL613" s="65" t="s">
        <v>3842</v>
      </c>
      <c r="AM613" s="31" t="s">
        <v>1161</v>
      </c>
    </row>
    <row r="614" spans="2:39" x14ac:dyDescent="0.25">
      <c r="B614" s="18" t="s">
        <v>379</v>
      </c>
      <c r="C614" s="44" t="s">
        <v>3994</v>
      </c>
      <c r="D614" s="20" t="s">
        <v>2097</v>
      </c>
      <c r="E614" s="67" t="s">
        <v>3</v>
      </c>
      <c r="F614" s="51" t="s">
        <v>3</v>
      </c>
      <c r="G614" s="37" t="s">
        <v>2715</v>
      </c>
      <c r="H614" s="68" t="s">
        <v>3842</v>
      </c>
      <c r="I614" s="62" t="s">
        <v>3310</v>
      </c>
      <c r="J614" s="61" t="s">
        <v>250</v>
      </c>
      <c r="K614" s="4">
        <v>4999800</v>
      </c>
      <c r="L614" s="39">
        <v>113.3</v>
      </c>
      <c r="M614" s="4">
        <v>5665000</v>
      </c>
      <c r="N614" s="4">
        <v>5000000</v>
      </c>
      <c r="O614" s="4">
        <v>5000008</v>
      </c>
      <c r="P614" s="4">
        <v>0</v>
      </c>
      <c r="Q614" s="4">
        <v>-2</v>
      </c>
      <c r="R614" s="4">
        <v>0</v>
      </c>
      <c r="S614" s="4">
        <v>0</v>
      </c>
      <c r="T614" s="23">
        <v>3.75</v>
      </c>
      <c r="U614" s="23">
        <v>3.75</v>
      </c>
      <c r="V614" s="5" t="s">
        <v>1982</v>
      </c>
      <c r="W614" s="4">
        <v>86458</v>
      </c>
      <c r="X614" s="4">
        <v>187500</v>
      </c>
      <c r="Y614" s="11">
        <v>43256</v>
      </c>
      <c r="Z614" s="11">
        <v>45853</v>
      </c>
      <c r="AA614" s="2"/>
      <c r="AB614" s="63" t="s">
        <v>3840</v>
      </c>
      <c r="AC614" s="5" t="s">
        <v>4198</v>
      </c>
      <c r="AD614" s="2"/>
      <c r="AE614" s="10">
        <v>45792</v>
      </c>
      <c r="AF614" s="23">
        <v>100</v>
      </c>
      <c r="AG614" s="6"/>
      <c r="AH614" s="5" t="s">
        <v>688</v>
      </c>
      <c r="AI614" s="5" t="s">
        <v>2097</v>
      </c>
      <c r="AJ614" s="5" t="s">
        <v>3</v>
      </c>
      <c r="AK614" s="16" t="s">
        <v>3</v>
      </c>
      <c r="AL614" s="65" t="s">
        <v>3842</v>
      </c>
      <c r="AM614" s="31" t="s">
        <v>1651</v>
      </c>
    </row>
    <row r="615" spans="2:39" x14ac:dyDescent="0.25">
      <c r="B615" s="18" t="s">
        <v>1796</v>
      </c>
      <c r="C615" s="44" t="s">
        <v>112</v>
      </c>
      <c r="D615" s="20" t="s">
        <v>2097</v>
      </c>
      <c r="E615" s="67" t="s">
        <v>3</v>
      </c>
      <c r="F615" s="51" t="s">
        <v>3</v>
      </c>
      <c r="G615" s="37" t="s">
        <v>2715</v>
      </c>
      <c r="H615" s="68" t="s">
        <v>3842</v>
      </c>
      <c r="I615" s="62" t="s">
        <v>3310</v>
      </c>
      <c r="J615" s="61" t="s">
        <v>250</v>
      </c>
      <c r="K615" s="4">
        <v>5812818</v>
      </c>
      <c r="L615" s="39">
        <v>106.298</v>
      </c>
      <c r="M615" s="4">
        <v>6165284</v>
      </c>
      <c r="N615" s="4">
        <v>5800000</v>
      </c>
      <c r="O615" s="4">
        <v>5811237</v>
      </c>
      <c r="P615" s="4">
        <v>0</v>
      </c>
      <c r="Q615" s="4">
        <v>-1581</v>
      </c>
      <c r="R615" s="4">
        <v>0</v>
      </c>
      <c r="S615" s="4">
        <v>0</v>
      </c>
      <c r="T615" s="23">
        <v>2.15</v>
      </c>
      <c r="U615" s="23">
        <v>2.113</v>
      </c>
      <c r="V615" s="5" t="s">
        <v>248</v>
      </c>
      <c r="W615" s="4">
        <v>50573</v>
      </c>
      <c r="X615" s="4">
        <v>64082</v>
      </c>
      <c r="Y615" s="11">
        <v>43873</v>
      </c>
      <c r="Z615" s="11">
        <v>46423</v>
      </c>
      <c r="AA615" s="2"/>
      <c r="AB615" s="63" t="s">
        <v>3840</v>
      </c>
      <c r="AC615" s="5" t="s">
        <v>4198</v>
      </c>
      <c r="AD615" s="2"/>
      <c r="AE615" s="10">
        <v>46361</v>
      </c>
      <c r="AF615" s="23">
        <v>100</v>
      </c>
      <c r="AG615" s="10">
        <v>46361</v>
      </c>
      <c r="AH615" s="5" t="s">
        <v>688</v>
      </c>
      <c r="AI615" s="5" t="s">
        <v>2097</v>
      </c>
      <c r="AJ615" s="5" t="s">
        <v>3</v>
      </c>
      <c r="AK615" s="16" t="s">
        <v>3</v>
      </c>
      <c r="AL615" s="65" t="s">
        <v>3842</v>
      </c>
      <c r="AM615" s="31" t="s">
        <v>1651</v>
      </c>
    </row>
    <row r="616" spans="2:39" x14ac:dyDescent="0.25">
      <c r="B616" s="18" t="s">
        <v>2884</v>
      </c>
      <c r="C616" s="44" t="s">
        <v>3995</v>
      </c>
      <c r="D616" s="20" t="s">
        <v>113</v>
      </c>
      <c r="E616" s="67" t="s">
        <v>3</v>
      </c>
      <c r="F616" s="51" t="s">
        <v>3</v>
      </c>
      <c r="G616" s="37" t="s">
        <v>3</v>
      </c>
      <c r="H616" s="68" t="s">
        <v>2715</v>
      </c>
      <c r="I616" s="62" t="s">
        <v>1358</v>
      </c>
      <c r="J616" s="61" t="s">
        <v>952</v>
      </c>
      <c r="K616" s="4">
        <v>1000000</v>
      </c>
      <c r="L616" s="39">
        <v>98</v>
      </c>
      <c r="M616" s="4">
        <v>980000</v>
      </c>
      <c r="N616" s="4">
        <v>1000000</v>
      </c>
      <c r="O616" s="4">
        <v>1000000</v>
      </c>
      <c r="P616" s="4">
        <v>0</v>
      </c>
      <c r="Q616" s="4">
        <v>0</v>
      </c>
      <c r="R616" s="4">
        <v>0</v>
      </c>
      <c r="S616" s="4">
        <v>0</v>
      </c>
      <c r="T616" s="23">
        <v>2.02</v>
      </c>
      <c r="U616" s="23">
        <v>2.02</v>
      </c>
      <c r="V616" s="5" t="s">
        <v>3844</v>
      </c>
      <c r="W616" s="4">
        <v>1683</v>
      </c>
      <c r="X616" s="4">
        <v>0</v>
      </c>
      <c r="Y616" s="11">
        <v>44166</v>
      </c>
      <c r="Z616" s="11">
        <v>47818</v>
      </c>
      <c r="AA616" s="2"/>
      <c r="AB616" s="63" t="s">
        <v>1684</v>
      </c>
      <c r="AC616" s="5" t="s">
        <v>3</v>
      </c>
      <c r="AD616" s="2"/>
      <c r="AE616" s="9"/>
      <c r="AF616" s="23"/>
      <c r="AG616" s="6"/>
      <c r="AH616" s="5" t="s">
        <v>3</v>
      </c>
      <c r="AI616" s="5" t="s">
        <v>113</v>
      </c>
      <c r="AJ616" s="5" t="s">
        <v>3</v>
      </c>
      <c r="AK616" s="16" t="s">
        <v>3</v>
      </c>
      <c r="AL616" s="65" t="s">
        <v>3842</v>
      </c>
      <c r="AM616" s="31" t="s">
        <v>1381</v>
      </c>
    </row>
    <row r="617" spans="2:39" x14ac:dyDescent="0.25">
      <c r="B617" s="18" t="s">
        <v>3996</v>
      </c>
      <c r="C617" s="44" t="s">
        <v>689</v>
      </c>
      <c r="D617" s="20" t="s">
        <v>380</v>
      </c>
      <c r="E617" s="67" t="s">
        <v>3</v>
      </c>
      <c r="F617" s="51" t="s">
        <v>3</v>
      </c>
      <c r="G617" s="37" t="s">
        <v>2715</v>
      </c>
      <c r="H617" s="68" t="s">
        <v>2715</v>
      </c>
      <c r="I617" s="62" t="s">
        <v>1358</v>
      </c>
      <c r="J617" s="61" t="s">
        <v>250</v>
      </c>
      <c r="K617" s="4">
        <v>4994750</v>
      </c>
      <c r="L617" s="39">
        <v>113.014</v>
      </c>
      <c r="M617" s="4">
        <v>5650700</v>
      </c>
      <c r="N617" s="4">
        <v>5000000</v>
      </c>
      <c r="O617" s="4">
        <v>4995523</v>
      </c>
      <c r="P617" s="4">
        <v>0</v>
      </c>
      <c r="Q617" s="4">
        <v>773</v>
      </c>
      <c r="R617" s="4">
        <v>0</v>
      </c>
      <c r="S617" s="4">
        <v>0</v>
      </c>
      <c r="T617" s="23">
        <v>3.9</v>
      </c>
      <c r="U617" s="23">
        <v>3.923</v>
      </c>
      <c r="V617" s="5" t="s">
        <v>3843</v>
      </c>
      <c r="W617" s="4">
        <v>48750</v>
      </c>
      <c r="X617" s="4">
        <v>101292</v>
      </c>
      <c r="Y617" s="11">
        <v>43909</v>
      </c>
      <c r="Z617" s="11">
        <v>45748</v>
      </c>
      <c r="AA617" s="2"/>
      <c r="AB617" s="63" t="s">
        <v>3840</v>
      </c>
      <c r="AC617" s="5" t="s">
        <v>4198</v>
      </c>
      <c r="AD617" s="2"/>
      <c r="AE617" s="10">
        <v>45717</v>
      </c>
      <c r="AF617" s="23">
        <v>100</v>
      </c>
      <c r="AG617" s="6"/>
      <c r="AH617" s="5" t="s">
        <v>2885</v>
      </c>
      <c r="AI617" s="5" t="s">
        <v>380</v>
      </c>
      <c r="AJ617" s="5" t="s">
        <v>3</v>
      </c>
      <c r="AK617" s="16" t="s">
        <v>3</v>
      </c>
      <c r="AL617" s="65" t="s">
        <v>3842</v>
      </c>
      <c r="AM617" s="31" t="s">
        <v>559</v>
      </c>
    </row>
    <row r="618" spans="2:39" x14ac:dyDescent="0.25">
      <c r="B618" s="18" t="s">
        <v>690</v>
      </c>
      <c r="C618" s="44" t="s">
        <v>3997</v>
      </c>
      <c r="D618" s="20" t="s">
        <v>114</v>
      </c>
      <c r="E618" s="67" t="s">
        <v>3</v>
      </c>
      <c r="F618" s="51" t="s">
        <v>3</v>
      </c>
      <c r="G618" s="37" t="s">
        <v>3842</v>
      </c>
      <c r="H618" s="68" t="s">
        <v>2715</v>
      </c>
      <c r="I618" s="62" t="s">
        <v>3538</v>
      </c>
      <c r="J618" s="61" t="s">
        <v>250</v>
      </c>
      <c r="K618" s="4">
        <v>4995450</v>
      </c>
      <c r="L618" s="39">
        <v>115.654</v>
      </c>
      <c r="M618" s="4">
        <v>5782700</v>
      </c>
      <c r="N618" s="4">
        <v>5000000</v>
      </c>
      <c r="O618" s="4">
        <v>4996705</v>
      </c>
      <c r="P618" s="4">
        <v>0</v>
      </c>
      <c r="Q618" s="4">
        <v>601</v>
      </c>
      <c r="R618" s="4">
        <v>0</v>
      </c>
      <c r="S618" s="4">
        <v>0</v>
      </c>
      <c r="T618" s="23">
        <v>3.95</v>
      </c>
      <c r="U618" s="23">
        <v>3.9649999999999999</v>
      </c>
      <c r="V618" s="5" t="s">
        <v>3312</v>
      </c>
      <c r="W618" s="4">
        <v>24139</v>
      </c>
      <c r="X618" s="4">
        <v>197500</v>
      </c>
      <c r="Y618" s="11">
        <v>43417</v>
      </c>
      <c r="Z618" s="11">
        <v>45978</v>
      </c>
      <c r="AA618" s="2"/>
      <c r="AB618" s="63" t="s">
        <v>3840</v>
      </c>
      <c r="AC618" s="5" t="s">
        <v>4198</v>
      </c>
      <c r="AD618" s="2"/>
      <c r="AE618" s="11">
        <v>45947</v>
      </c>
      <c r="AF618" s="23">
        <v>100</v>
      </c>
      <c r="AG618" s="6"/>
      <c r="AH618" s="5" t="s">
        <v>4315</v>
      </c>
      <c r="AI618" s="5" t="s">
        <v>114</v>
      </c>
      <c r="AJ618" s="5" t="s">
        <v>3</v>
      </c>
      <c r="AK618" s="16" t="s">
        <v>3</v>
      </c>
      <c r="AL618" s="65" t="s">
        <v>3842</v>
      </c>
      <c r="AM618" s="31" t="s">
        <v>1161</v>
      </c>
    </row>
    <row r="619" spans="2:39" x14ac:dyDescent="0.25">
      <c r="B619" s="18" t="s">
        <v>1797</v>
      </c>
      <c r="C619" s="44" t="s">
        <v>1449</v>
      </c>
      <c r="D619" s="20" t="s">
        <v>1024</v>
      </c>
      <c r="E619" s="67" t="s">
        <v>3</v>
      </c>
      <c r="F619" s="51" t="s">
        <v>3</v>
      </c>
      <c r="G619" s="37" t="s">
        <v>2715</v>
      </c>
      <c r="H619" s="68" t="s">
        <v>2715</v>
      </c>
      <c r="I619" s="62" t="s">
        <v>1358</v>
      </c>
      <c r="J619" s="61" t="s">
        <v>250</v>
      </c>
      <c r="K619" s="4">
        <v>5011050</v>
      </c>
      <c r="L619" s="39">
        <v>104.574</v>
      </c>
      <c r="M619" s="4">
        <v>5228700</v>
      </c>
      <c r="N619" s="4">
        <v>5000000</v>
      </c>
      <c r="O619" s="4">
        <v>5005923</v>
      </c>
      <c r="P619" s="4">
        <v>0</v>
      </c>
      <c r="Q619" s="4">
        <v>-2987</v>
      </c>
      <c r="R619" s="4">
        <v>0</v>
      </c>
      <c r="S619" s="4">
        <v>0</v>
      </c>
      <c r="T619" s="23">
        <v>2.75</v>
      </c>
      <c r="U619" s="23">
        <v>2.6859999999999999</v>
      </c>
      <c r="V619" s="5" t="s">
        <v>248</v>
      </c>
      <c r="W619" s="4">
        <v>51944</v>
      </c>
      <c r="X619" s="4">
        <v>137500</v>
      </c>
      <c r="Y619" s="11">
        <v>43551</v>
      </c>
      <c r="Z619" s="11">
        <v>44972</v>
      </c>
      <c r="AA619" s="2"/>
      <c r="AB619" s="63" t="s">
        <v>3840</v>
      </c>
      <c r="AC619" s="5" t="s">
        <v>4198</v>
      </c>
      <c r="AD619" s="2"/>
      <c r="AE619" s="11">
        <v>44880</v>
      </c>
      <c r="AF619" s="23">
        <v>100</v>
      </c>
      <c r="AG619" s="11">
        <v>44880</v>
      </c>
      <c r="AH619" s="5" t="s">
        <v>3998</v>
      </c>
      <c r="AI619" s="5" t="s">
        <v>1024</v>
      </c>
      <c r="AJ619" s="5" t="s">
        <v>3</v>
      </c>
      <c r="AK619" s="16" t="s">
        <v>3</v>
      </c>
      <c r="AL619" s="65" t="s">
        <v>3842</v>
      </c>
      <c r="AM619" s="31" t="s">
        <v>559</v>
      </c>
    </row>
    <row r="620" spans="2:39" x14ac:dyDescent="0.25">
      <c r="B620" s="18" t="s">
        <v>2886</v>
      </c>
      <c r="C620" s="44" t="s">
        <v>1025</v>
      </c>
      <c r="D620" s="20" t="s">
        <v>1024</v>
      </c>
      <c r="E620" s="67" t="s">
        <v>3</v>
      </c>
      <c r="F620" s="51" t="s">
        <v>3</v>
      </c>
      <c r="G620" s="37" t="s">
        <v>3</v>
      </c>
      <c r="H620" s="68" t="s">
        <v>2715</v>
      </c>
      <c r="I620" s="62" t="s">
        <v>1358</v>
      </c>
      <c r="J620" s="61" t="s">
        <v>250</v>
      </c>
      <c r="K620" s="4">
        <v>4993850</v>
      </c>
      <c r="L620" s="39">
        <v>104.754</v>
      </c>
      <c r="M620" s="4">
        <v>5237700</v>
      </c>
      <c r="N620" s="4">
        <v>5000000</v>
      </c>
      <c r="O620" s="4">
        <v>4998511</v>
      </c>
      <c r="P620" s="4">
        <v>0</v>
      </c>
      <c r="Q620" s="4">
        <v>927</v>
      </c>
      <c r="R620" s="4">
        <v>0</v>
      </c>
      <c r="S620" s="4">
        <v>0</v>
      </c>
      <c r="T620" s="23">
        <v>3.35</v>
      </c>
      <c r="U620" s="23">
        <v>3.37</v>
      </c>
      <c r="V620" s="5" t="s">
        <v>1982</v>
      </c>
      <c r="W620" s="4">
        <v>77236</v>
      </c>
      <c r="X620" s="4">
        <v>167500</v>
      </c>
      <c r="Y620" s="11">
        <v>42205</v>
      </c>
      <c r="Z620" s="11">
        <v>44757</v>
      </c>
      <c r="AA620" s="2"/>
      <c r="AB620" s="63" t="s">
        <v>3840</v>
      </c>
      <c r="AC620" s="5" t="s">
        <v>4198</v>
      </c>
      <c r="AD620" s="2"/>
      <c r="AE620" s="9"/>
      <c r="AF620" s="23"/>
      <c r="AG620" s="6"/>
      <c r="AH620" s="5" t="s">
        <v>3998</v>
      </c>
      <c r="AI620" s="5" t="s">
        <v>1024</v>
      </c>
      <c r="AJ620" s="5" t="s">
        <v>3</v>
      </c>
      <c r="AK620" s="16" t="s">
        <v>3</v>
      </c>
      <c r="AL620" s="65" t="s">
        <v>3842</v>
      </c>
      <c r="AM620" s="31" t="s">
        <v>559</v>
      </c>
    </row>
    <row r="621" spans="2:39" x14ac:dyDescent="0.25">
      <c r="B621" s="18" t="s">
        <v>3999</v>
      </c>
      <c r="C621" s="44" t="s">
        <v>1026</v>
      </c>
      <c r="D621" s="20" t="s">
        <v>1024</v>
      </c>
      <c r="E621" s="67" t="s">
        <v>3</v>
      </c>
      <c r="F621" s="51" t="s">
        <v>3</v>
      </c>
      <c r="G621" s="37" t="s">
        <v>2715</v>
      </c>
      <c r="H621" s="68" t="s">
        <v>2715</v>
      </c>
      <c r="I621" s="62" t="s">
        <v>1358</v>
      </c>
      <c r="J621" s="61" t="s">
        <v>250</v>
      </c>
      <c r="K621" s="4">
        <v>4997500</v>
      </c>
      <c r="L621" s="39">
        <v>107.56699999999999</v>
      </c>
      <c r="M621" s="4">
        <v>5378350</v>
      </c>
      <c r="N621" s="4">
        <v>5000000</v>
      </c>
      <c r="O621" s="4">
        <v>4998707</v>
      </c>
      <c r="P621" s="4">
        <v>0</v>
      </c>
      <c r="Q621" s="4">
        <v>496</v>
      </c>
      <c r="R621" s="4">
        <v>0</v>
      </c>
      <c r="S621" s="4">
        <v>0</v>
      </c>
      <c r="T621" s="23">
        <v>3.5</v>
      </c>
      <c r="U621" s="23">
        <v>3.5110000000000001</v>
      </c>
      <c r="V621" s="5" t="s">
        <v>3844</v>
      </c>
      <c r="W621" s="4">
        <v>7778</v>
      </c>
      <c r="X621" s="4">
        <v>175000</v>
      </c>
      <c r="Y621" s="11">
        <v>43265</v>
      </c>
      <c r="Z621" s="11">
        <v>45092</v>
      </c>
      <c r="AA621" s="2"/>
      <c r="AB621" s="63" t="s">
        <v>3840</v>
      </c>
      <c r="AC621" s="5" t="s">
        <v>4198</v>
      </c>
      <c r="AD621" s="2"/>
      <c r="AE621" s="9"/>
      <c r="AF621" s="23"/>
      <c r="AG621" s="9"/>
      <c r="AH621" s="5" t="s">
        <v>3998</v>
      </c>
      <c r="AI621" s="5" t="s">
        <v>1024</v>
      </c>
      <c r="AJ621" s="5" t="s">
        <v>3</v>
      </c>
      <c r="AK621" s="16" t="s">
        <v>3</v>
      </c>
      <c r="AL621" s="65" t="s">
        <v>3842</v>
      </c>
      <c r="AM621" s="31" t="s">
        <v>559</v>
      </c>
    </row>
    <row r="622" spans="2:39" x14ac:dyDescent="0.25">
      <c r="B622" s="18" t="s">
        <v>691</v>
      </c>
      <c r="C622" s="44" t="s">
        <v>2098</v>
      </c>
      <c r="D622" s="20" t="s">
        <v>1024</v>
      </c>
      <c r="E622" s="67" t="s">
        <v>3</v>
      </c>
      <c r="F622" s="51" t="s">
        <v>3</v>
      </c>
      <c r="G622" s="37" t="s">
        <v>2715</v>
      </c>
      <c r="H622" s="68" t="s">
        <v>2715</v>
      </c>
      <c r="I622" s="62" t="s">
        <v>1358</v>
      </c>
      <c r="J622" s="61" t="s">
        <v>250</v>
      </c>
      <c r="K622" s="4">
        <v>1995980</v>
      </c>
      <c r="L622" s="39">
        <v>114.562</v>
      </c>
      <c r="M622" s="4">
        <v>2291240</v>
      </c>
      <c r="N622" s="4">
        <v>2000000</v>
      </c>
      <c r="O622" s="4">
        <v>1997044</v>
      </c>
      <c r="P622" s="4">
        <v>0</v>
      </c>
      <c r="Q622" s="4">
        <v>534</v>
      </c>
      <c r="R622" s="4">
        <v>0</v>
      </c>
      <c r="S622" s="4">
        <v>0</v>
      </c>
      <c r="T622" s="23">
        <v>3.7</v>
      </c>
      <c r="U622" s="23">
        <v>3.7330000000000001</v>
      </c>
      <c r="V622" s="5" t="s">
        <v>3844</v>
      </c>
      <c r="W622" s="4">
        <v>3289</v>
      </c>
      <c r="X622" s="4">
        <v>74000</v>
      </c>
      <c r="Y622" s="11">
        <v>43447</v>
      </c>
      <c r="Z622" s="11">
        <v>46006</v>
      </c>
      <c r="AA622" s="2"/>
      <c r="AB622" s="63" t="s">
        <v>3840</v>
      </c>
      <c r="AC622" s="5" t="s">
        <v>4198</v>
      </c>
      <c r="AD622" s="2"/>
      <c r="AE622" s="9"/>
      <c r="AF622" s="23"/>
      <c r="AG622" s="6"/>
      <c r="AH622" s="5" t="s">
        <v>3998</v>
      </c>
      <c r="AI622" s="5" t="s">
        <v>1024</v>
      </c>
      <c r="AJ622" s="5" t="s">
        <v>3</v>
      </c>
      <c r="AK622" s="16" t="s">
        <v>3</v>
      </c>
      <c r="AL622" s="65" t="s">
        <v>3842</v>
      </c>
      <c r="AM622" s="31" t="s">
        <v>559</v>
      </c>
    </row>
    <row r="623" spans="2:39" x14ac:dyDescent="0.25">
      <c r="B623" s="18" t="s">
        <v>1798</v>
      </c>
      <c r="C623" s="44" t="s">
        <v>2887</v>
      </c>
      <c r="D623" s="20" t="s">
        <v>1450</v>
      </c>
      <c r="E623" s="67" t="s">
        <v>3</v>
      </c>
      <c r="F623" s="51" t="s">
        <v>3</v>
      </c>
      <c r="G623" s="37" t="s">
        <v>2715</v>
      </c>
      <c r="H623" s="68" t="s">
        <v>3842</v>
      </c>
      <c r="I623" s="62" t="s">
        <v>1157</v>
      </c>
      <c r="J623" s="61" t="s">
        <v>250</v>
      </c>
      <c r="K623" s="4">
        <v>4997750</v>
      </c>
      <c r="L623" s="39">
        <v>106.20099999999999</v>
      </c>
      <c r="M623" s="4">
        <v>5310050</v>
      </c>
      <c r="N623" s="4">
        <v>5000000</v>
      </c>
      <c r="O623" s="4">
        <v>4997907</v>
      </c>
      <c r="P623" s="4">
        <v>0</v>
      </c>
      <c r="Q623" s="4">
        <v>157</v>
      </c>
      <c r="R623" s="4">
        <v>0</v>
      </c>
      <c r="S623" s="4">
        <v>0</v>
      </c>
      <c r="T623" s="23">
        <v>2.2999999999999998</v>
      </c>
      <c r="U623" s="23">
        <v>2.3069999999999999</v>
      </c>
      <c r="V623" s="5" t="s">
        <v>3844</v>
      </c>
      <c r="W623" s="4">
        <v>2875</v>
      </c>
      <c r="X623" s="4">
        <v>57500</v>
      </c>
      <c r="Y623" s="11">
        <v>43999</v>
      </c>
      <c r="Z623" s="11">
        <v>46560</v>
      </c>
      <c r="AA623" s="2"/>
      <c r="AB623" s="63" t="s">
        <v>3840</v>
      </c>
      <c r="AC623" s="5" t="s">
        <v>4198</v>
      </c>
      <c r="AD623" s="2"/>
      <c r="AE623" s="10">
        <v>46499</v>
      </c>
      <c r="AF623" s="23">
        <v>100</v>
      </c>
      <c r="AG623" s="6"/>
      <c r="AH623" s="5" t="s">
        <v>3</v>
      </c>
      <c r="AI623" s="5" t="s">
        <v>2309</v>
      </c>
      <c r="AJ623" s="5" t="s">
        <v>928</v>
      </c>
      <c r="AK623" s="16" t="s">
        <v>3</v>
      </c>
      <c r="AL623" s="65" t="s">
        <v>3842</v>
      </c>
      <c r="AM623" s="31" t="s">
        <v>926</v>
      </c>
    </row>
    <row r="624" spans="2:39" x14ac:dyDescent="0.25">
      <c r="B624" s="18" t="s">
        <v>4000</v>
      </c>
      <c r="C624" s="44" t="s">
        <v>3408</v>
      </c>
      <c r="D624" s="20" t="s">
        <v>2542</v>
      </c>
      <c r="E624" s="67" t="s">
        <v>3</v>
      </c>
      <c r="F624" s="51" t="s">
        <v>3</v>
      </c>
      <c r="G624" s="37" t="s">
        <v>2715</v>
      </c>
      <c r="H624" s="68" t="s">
        <v>2715</v>
      </c>
      <c r="I624" s="62" t="s">
        <v>1358</v>
      </c>
      <c r="J624" s="61" t="s">
        <v>250</v>
      </c>
      <c r="K624" s="4">
        <v>10255900</v>
      </c>
      <c r="L624" s="39">
        <v>109.29300000000001</v>
      </c>
      <c r="M624" s="4">
        <v>10929300</v>
      </c>
      <c r="N624" s="4">
        <v>10000000</v>
      </c>
      <c r="O624" s="4">
        <v>10235499</v>
      </c>
      <c r="P624" s="4">
        <v>0</v>
      </c>
      <c r="Q624" s="4">
        <v>-20401</v>
      </c>
      <c r="R624" s="4">
        <v>0</v>
      </c>
      <c r="S624" s="4">
        <v>0</v>
      </c>
      <c r="T624" s="23">
        <v>2.8</v>
      </c>
      <c r="U624" s="23">
        <v>2.3809999999999998</v>
      </c>
      <c r="V624" s="5" t="s">
        <v>3843</v>
      </c>
      <c r="W624" s="4">
        <v>52889</v>
      </c>
      <c r="X624" s="4">
        <v>140000</v>
      </c>
      <c r="Y624" s="11">
        <v>43985</v>
      </c>
      <c r="Z624" s="11">
        <v>46500</v>
      </c>
      <c r="AA624" s="2"/>
      <c r="AB624" s="63" t="s">
        <v>3840</v>
      </c>
      <c r="AC624" s="5" t="s">
        <v>4198</v>
      </c>
      <c r="AD624" s="2"/>
      <c r="AE624" s="10">
        <v>46441</v>
      </c>
      <c r="AF624" s="23">
        <v>100</v>
      </c>
      <c r="AG624" s="10">
        <v>46441</v>
      </c>
      <c r="AH624" s="5" t="s">
        <v>2543</v>
      </c>
      <c r="AI624" s="5" t="s">
        <v>2542</v>
      </c>
      <c r="AJ624" s="5" t="s">
        <v>3</v>
      </c>
      <c r="AK624" s="16" t="s">
        <v>3</v>
      </c>
      <c r="AL624" s="65" t="s">
        <v>3842</v>
      </c>
      <c r="AM624" s="31" t="s">
        <v>559</v>
      </c>
    </row>
    <row r="625" spans="2:39" x14ac:dyDescent="0.25">
      <c r="B625" s="18" t="s">
        <v>692</v>
      </c>
      <c r="C625" s="44" t="s">
        <v>1451</v>
      </c>
      <c r="D625" s="20" t="s">
        <v>2888</v>
      </c>
      <c r="E625" s="67" t="s">
        <v>3</v>
      </c>
      <c r="F625" s="51" t="s">
        <v>3</v>
      </c>
      <c r="G625" s="37" t="s">
        <v>2715</v>
      </c>
      <c r="H625" s="68" t="s">
        <v>3842</v>
      </c>
      <c r="I625" s="62" t="s">
        <v>10</v>
      </c>
      <c r="J625" s="61" t="s">
        <v>250</v>
      </c>
      <c r="K625" s="4">
        <v>4004819</v>
      </c>
      <c r="L625" s="39">
        <v>109.75</v>
      </c>
      <c r="M625" s="4">
        <v>4826805</v>
      </c>
      <c r="N625" s="4">
        <v>4398000</v>
      </c>
      <c r="O625" s="4">
        <v>4096635</v>
      </c>
      <c r="P625" s="4">
        <v>0</v>
      </c>
      <c r="Q625" s="4">
        <v>44953</v>
      </c>
      <c r="R625" s="4">
        <v>0</v>
      </c>
      <c r="S625" s="4">
        <v>0</v>
      </c>
      <c r="T625" s="23">
        <v>3.4</v>
      </c>
      <c r="U625" s="23">
        <v>4.7869999999999999</v>
      </c>
      <c r="V625" s="5" t="s">
        <v>12</v>
      </c>
      <c r="W625" s="4">
        <v>44029</v>
      </c>
      <c r="X625" s="4">
        <v>149532</v>
      </c>
      <c r="Y625" s="11">
        <v>43431</v>
      </c>
      <c r="Z625" s="11">
        <v>46280</v>
      </c>
      <c r="AA625" s="2"/>
      <c r="AB625" s="63" t="s">
        <v>3840</v>
      </c>
      <c r="AC625" s="5" t="s">
        <v>4198</v>
      </c>
      <c r="AD625" s="2"/>
      <c r="AE625" s="10">
        <v>46188</v>
      </c>
      <c r="AF625" s="23">
        <v>100</v>
      </c>
      <c r="AG625" s="6"/>
      <c r="AH625" s="5" t="s">
        <v>4001</v>
      </c>
      <c r="AI625" s="5" t="s">
        <v>3650</v>
      </c>
      <c r="AJ625" s="5" t="s">
        <v>115</v>
      </c>
      <c r="AK625" s="16" t="s">
        <v>3</v>
      </c>
      <c r="AL625" s="65" t="s">
        <v>3842</v>
      </c>
      <c r="AM625" s="31" t="s">
        <v>1176</v>
      </c>
    </row>
    <row r="626" spans="2:39" x14ac:dyDescent="0.25">
      <c r="B626" s="18" t="s">
        <v>1799</v>
      </c>
      <c r="C626" s="44" t="s">
        <v>4316</v>
      </c>
      <c r="D626" s="20" t="s">
        <v>2888</v>
      </c>
      <c r="E626" s="67" t="s">
        <v>3</v>
      </c>
      <c r="F626" s="51" t="s">
        <v>3</v>
      </c>
      <c r="G626" s="37" t="s">
        <v>2715</v>
      </c>
      <c r="H626" s="68" t="s">
        <v>3842</v>
      </c>
      <c r="I626" s="62" t="s">
        <v>10</v>
      </c>
      <c r="J626" s="61" t="s">
        <v>250</v>
      </c>
      <c r="K626" s="4">
        <v>4993500</v>
      </c>
      <c r="L626" s="39">
        <v>102.334</v>
      </c>
      <c r="M626" s="4">
        <v>5116700</v>
      </c>
      <c r="N626" s="4">
        <v>5000000</v>
      </c>
      <c r="O626" s="4">
        <v>4993767</v>
      </c>
      <c r="P626" s="4">
        <v>0</v>
      </c>
      <c r="Q626" s="4">
        <v>267</v>
      </c>
      <c r="R626" s="4">
        <v>0</v>
      </c>
      <c r="S626" s="4">
        <v>0</v>
      </c>
      <c r="T626" s="23">
        <v>2.15</v>
      </c>
      <c r="U626" s="23">
        <v>2.17</v>
      </c>
      <c r="V626" s="5" t="s">
        <v>12</v>
      </c>
      <c r="W626" s="4">
        <v>33146</v>
      </c>
      <c r="X626" s="4">
        <v>0</v>
      </c>
      <c r="Y626" s="11">
        <v>44082</v>
      </c>
      <c r="Z626" s="11">
        <v>46645</v>
      </c>
      <c r="AA626" s="2"/>
      <c r="AB626" s="63" t="s">
        <v>3840</v>
      </c>
      <c r="AC626" s="5" t="s">
        <v>4198</v>
      </c>
      <c r="AD626" s="2"/>
      <c r="AE626" s="10">
        <v>46583</v>
      </c>
      <c r="AF626" s="23">
        <v>100</v>
      </c>
      <c r="AG626" s="6"/>
      <c r="AH626" s="5" t="s">
        <v>4001</v>
      </c>
      <c r="AI626" s="5" t="s">
        <v>3650</v>
      </c>
      <c r="AJ626" s="5" t="s">
        <v>115</v>
      </c>
      <c r="AK626" s="16" t="s">
        <v>3</v>
      </c>
      <c r="AL626" s="65" t="s">
        <v>3842</v>
      </c>
      <c r="AM626" s="31" t="s">
        <v>1176</v>
      </c>
    </row>
    <row r="627" spans="2:39" x14ac:dyDescent="0.25">
      <c r="B627" s="18" t="s">
        <v>2889</v>
      </c>
      <c r="C627" s="44" t="s">
        <v>2099</v>
      </c>
      <c r="D627" s="20" t="s">
        <v>3651</v>
      </c>
      <c r="E627" s="67" t="s">
        <v>3</v>
      </c>
      <c r="F627" s="51" t="s">
        <v>3</v>
      </c>
      <c r="G627" s="37" t="s">
        <v>2715</v>
      </c>
      <c r="H627" s="68" t="s">
        <v>3842</v>
      </c>
      <c r="I627" s="62" t="s">
        <v>10</v>
      </c>
      <c r="J627" s="61" t="s">
        <v>250</v>
      </c>
      <c r="K627" s="4">
        <v>5960578</v>
      </c>
      <c r="L627" s="39">
        <v>116.018</v>
      </c>
      <c r="M627" s="4">
        <v>6961080</v>
      </c>
      <c r="N627" s="4">
        <v>6000000</v>
      </c>
      <c r="O627" s="4">
        <v>5970012</v>
      </c>
      <c r="P627" s="4">
        <v>0</v>
      </c>
      <c r="Q627" s="4">
        <v>4306</v>
      </c>
      <c r="R627" s="4">
        <v>0</v>
      </c>
      <c r="S627" s="4">
        <v>0</v>
      </c>
      <c r="T627" s="23">
        <v>4.375</v>
      </c>
      <c r="U627" s="23">
        <v>4.4720000000000004</v>
      </c>
      <c r="V627" s="5" t="s">
        <v>3844</v>
      </c>
      <c r="W627" s="4">
        <v>11667</v>
      </c>
      <c r="X627" s="4">
        <v>262500</v>
      </c>
      <c r="Y627" s="11">
        <v>43399</v>
      </c>
      <c r="Z627" s="11">
        <v>46371</v>
      </c>
      <c r="AA627" s="2"/>
      <c r="AB627" s="63" t="s">
        <v>3840</v>
      </c>
      <c r="AC627" s="5" t="s">
        <v>4198</v>
      </c>
      <c r="AD627" s="2"/>
      <c r="AE627" s="10">
        <v>46280</v>
      </c>
      <c r="AF627" s="23">
        <v>100</v>
      </c>
      <c r="AG627" s="6"/>
      <c r="AH627" s="5" t="s">
        <v>1800</v>
      </c>
      <c r="AI627" s="5" t="s">
        <v>3651</v>
      </c>
      <c r="AJ627" s="5" t="s">
        <v>3</v>
      </c>
      <c r="AK627" s="16" t="s">
        <v>3</v>
      </c>
      <c r="AL627" s="65" t="s">
        <v>3842</v>
      </c>
      <c r="AM627" s="31" t="s">
        <v>1176</v>
      </c>
    </row>
    <row r="628" spans="2:39" x14ac:dyDescent="0.25">
      <c r="B628" s="18" t="s">
        <v>4002</v>
      </c>
      <c r="C628" s="44" t="s">
        <v>381</v>
      </c>
      <c r="D628" s="20" t="s">
        <v>3652</v>
      </c>
      <c r="E628" s="67" t="s">
        <v>3</v>
      </c>
      <c r="F628" s="51" t="s">
        <v>3</v>
      </c>
      <c r="G628" s="37" t="s">
        <v>3</v>
      </c>
      <c r="H628" s="68" t="s">
        <v>2715</v>
      </c>
      <c r="I628" s="62" t="s">
        <v>1358</v>
      </c>
      <c r="J628" s="61" t="s">
        <v>3</v>
      </c>
      <c r="K628" s="4">
        <v>3000000</v>
      </c>
      <c r="L628" s="39">
        <v>97.811999999999998</v>
      </c>
      <c r="M628" s="4">
        <v>2934360</v>
      </c>
      <c r="N628" s="4">
        <v>3000000</v>
      </c>
      <c r="O628" s="4">
        <v>3000000</v>
      </c>
      <c r="P628" s="4">
        <v>0</v>
      </c>
      <c r="Q628" s="4">
        <v>0</v>
      </c>
      <c r="R628" s="4">
        <v>0</v>
      </c>
      <c r="S628" s="4">
        <v>0</v>
      </c>
      <c r="T628" s="23">
        <v>1.94</v>
      </c>
      <c r="U628" s="23">
        <v>1.94</v>
      </c>
      <c r="V628" s="5" t="s">
        <v>248</v>
      </c>
      <c r="W628" s="4">
        <v>21340</v>
      </c>
      <c r="X628" s="4">
        <v>0</v>
      </c>
      <c r="Y628" s="11">
        <v>44062</v>
      </c>
      <c r="Z628" s="11">
        <v>47717</v>
      </c>
      <c r="AA628" s="2"/>
      <c r="AB628" s="63" t="s">
        <v>1684</v>
      </c>
      <c r="AC628" s="5" t="s">
        <v>3</v>
      </c>
      <c r="AD628" s="2"/>
      <c r="AE628" s="9"/>
      <c r="AF628" s="23"/>
      <c r="AG628" s="6"/>
      <c r="AH628" s="5" t="s">
        <v>1027</v>
      </c>
      <c r="AI628" s="5" t="s">
        <v>693</v>
      </c>
      <c r="AJ628" s="5" t="s">
        <v>382</v>
      </c>
      <c r="AK628" s="16" t="s">
        <v>3</v>
      </c>
      <c r="AL628" s="65" t="s">
        <v>3842</v>
      </c>
      <c r="AM628" s="31" t="s">
        <v>595</v>
      </c>
    </row>
    <row r="629" spans="2:39" x14ac:dyDescent="0.25">
      <c r="B629" s="18" t="s">
        <v>694</v>
      </c>
      <c r="C629" s="44" t="s">
        <v>2544</v>
      </c>
      <c r="D629" s="20" t="s">
        <v>3189</v>
      </c>
      <c r="E629" s="67" t="s">
        <v>3</v>
      </c>
      <c r="F629" s="51" t="s">
        <v>3</v>
      </c>
      <c r="G629" s="37" t="s">
        <v>2715</v>
      </c>
      <c r="H629" s="68" t="s">
        <v>2715</v>
      </c>
      <c r="I629" s="62" t="s">
        <v>2218</v>
      </c>
      <c r="J629" s="61" t="s">
        <v>250</v>
      </c>
      <c r="K629" s="4">
        <v>9489060</v>
      </c>
      <c r="L629" s="39">
        <v>106.28700000000001</v>
      </c>
      <c r="M629" s="4">
        <v>9565830</v>
      </c>
      <c r="N629" s="4">
        <v>9000000</v>
      </c>
      <c r="O629" s="4">
        <v>9448613</v>
      </c>
      <c r="P629" s="4">
        <v>0</v>
      </c>
      <c r="Q629" s="4">
        <v>-40447</v>
      </c>
      <c r="R629" s="4">
        <v>0</v>
      </c>
      <c r="S629" s="4">
        <v>0</v>
      </c>
      <c r="T629" s="23">
        <v>1.9</v>
      </c>
      <c r="U629" s="23">
        <v>1.0569999999999999</v>
      </c>
      <c r="V629" s="5" t="s">
        <v>3843</v>
      </c>
      <c r="W629" s="4">
        <v>36100</v>
      </c>
      <c r="X629" s="4">
        <v>91675</v>
      </c>
      <c r="Y629" s="11">
        <v>43985</v>
      </c>
      <c r="Z629" s="11">
        <v>46492</v>
      </c>
      <c r="AA629" s="2"/>
      <c r="AB629" s="63" t="s">
        <v>3840</v>
      </c>
      <c r="AC629" s="5" t="s">
        <v>4198</v>
      </c>
      <c r="AD629" s="2"/>
      <c r="AE629" s="11">
        <v>46433</v>
      </c>
      <c r="AF629" s="23">
        <v>100</v>
      </c>
      <c r="AG629" s="11">
        <v>46433</v>
      </c>
      <c r="AH629" s="5" t="s">
        <v>1452</v>
      </c>
      <c r="AI629" s="5" t="s">
        <v>3189</v>
      </c>
      <c r="AJ629" s="5" t="s">
        <v>3</v>
      </c>
      <c r="AK629" s="16" t="s">
        <v>3</v>
      </c>
      <c r="AL629" s="65" t="s">
        <v>3842</v>
      </c>
      <c r="AM629" s="31" t="s">
        <v>1351</v>
      </c>
    </row>
    <row r="630" spans="2:39" x14ac:dyDescent="0.25">
      <c r="B630" s="18" t="s">
        <v>1801</v>
      </c>
      <c r="C630" s="44" t="s">
        <v>4317</v>
      </c>
      <c r="D630" s="20" t="s">
        <v>383</v>
      </c>
      <c r="E630" s="67" t="s">
        <v>3</v>
      </c>
      <c r="F630" s="51" t="s">
        <v>3</v>
      </c>
      <c r="G630" s="37" t="s">
        <v>2715</v>
      </c>
      <c r="H630" s="68" t="s">
        <v>3842</v>
      </c>
      <c r="I630" s="62" t="s">
        <v>10</v>
      </c>
      <c r="J630" s="61" t="s">
        <v>250</v>
      </c>
      <c r="K630" s="4">
        <v>4984950</v>
      </c>
      <c r="L630" s="39">
        <v>108.002</v>
      </c>
      <c r="M630" s="4">
        <v>5400100</v>
      </c>
      <c r="N630" s="4">
        <v>5000000</v>
      </c>
      <c r="O630" s="4">
        <v>4992025</v>
      </c>
      <c r="P630" s="4">
        <v>0</v>
      </c>
      <c r="Q630" s="4">
        <v>2097</v>
      </c>
      <c r="R630" s="4">
        <v>0</v>
      </c>
      <c r="S630" s="4">
        <v>0</v>
      </c>
      <c r="T630" s="23">
        <v>3.125</v>
      </c>
      <c r="U630" s="23">
        <v>3.173</v>
      </c>
      <c r="V630" s="5" t="s">
        <v>1982</v>
      </c>
      <c r="W630" s="4">
        <v>72049</v>
      </c>
      <c r="X630" s="4">
        <v>156250</v>
      </c>
      <c r="Y630" s="11">
        <v>42912</v>
      </c>
      <c r="Z630" s="11">
        <v>45488</v>
      </c>
      <c r="AA630" s="2"/>
      <c r="AB630" s="63" t="s">
        <v>3840</v>
      </c>
      <c r="AC630" s="5" t="s">
        <v>4198</v>
      </c>
      <c r="AD630" s="2"/>
      <c r="AE630" s="11">
        <v>45427</v>
      </c>
      <c r="AF630" s="23">
        <v>100</v>
      </c>
      <c r="AG630" s="6"/>
      <c r="AH630" s="5" t="s">
        <v>2545</v>
      </c>
      <c r="AI630" s="5" t="s">
        <v>383</v>
      </c>
      <c r="AJ630" s="5" t="s">
        <v>3</v>
      </c>
      <c r="AK630" s="16" t="s">
        <v>3</v>
      </c>
      <c r="AL630" s="65" t="s">
        <v>3842</v>
      </c>
      <c r="AM630" s="31" t="s">
        <v>1176</v>
      </c>
    </row>
    <row r="631" spans="2:39" x14ac:dyDescent="0.25">
      <c r="B631" s="18" t="s">
        <v>2890</v>
      </c>
      <c r="C631" s="44" t="s">
        <v>3653</v>
      </c>
      <c r="D631" s="20" t="s">
        <v>3654</v>
      </c>
      <c r="E631" s="67" t="s">
        <v>3</v>
      </c>
      <c r="F631" s="51" t="s">
        <v>3</v>
      </c>
      <c r="G631" s="37" t="s">
        <v>2715</v>
      </c>
      <c r="H631" s="68" t="s">
        <v>3842</v>
      </c>
      <c r="I631" s="62" t="s">
        <v>10</v>
      </c>
      <c r="J631" s="61" t="s">
        <v>250</v>
      </c>
      <c r="K631" s="4">
        <v>5052990</v>
      </c>
      <c r="L631" s="39">
        <v>117.625</v>
      </c>
      <c r="M631" s="4">
        <v>5881250</v>
      </c>
      <c r="N631" s="4">
        <v>5000000</v>
      </c>
      <c r="O631" s="4">
        <v>5040527</v>
      </c>
      <c r="P631" s="4">
        <v>0</v>
      </c>
      <c r="Q631" s="4">
        <v>-7243</v>
      </c>
      <c r="R631" s="4">
        <v>0</v>
      </c>
      <c r="S631" s="4">
        <v>0</v>
      </c>
      <c r="T631" s="23">
        <v>4.6500000000000004</v>
      </c>
      <c r="U631" s="23">
        <v>4.4649999999999999</v>
      </c>
      <c r="V631" s="5" t="s">
        <v>12</v>
      </c>
      <c r="W631" s="4">
        <v>68458</v>
      </c>
      <c r="X631" s="4">
        <v>232500</v>
      </c>
      <c r="Y631" s="11">
        <v>43553</v>
      </c>
      <c r="Z631" s="11">
        <v>46096</v>
      </c>
      <c r="AA631" s="2"/>
      <c r="AB631" s="63" t="s">
        <v>3840</v>
      </c>
      <c r="AC631" s="5" t="s">
        <v>4198</v>
      </c>
      <c r="AD631" s="2"/>
      <c r="AE631" s="11">
        <v>46037</v>
      </c>
      <c r="AF631" s="23">
        <v>100</v>
      </c>
      <c r="AG631" s="10">
        <v>46037</v>
      </c>
      <c r="AH631" s="5" t="s">
        <v>1234</v>
      </c>
      <c r="AI631" s="5" t="s">
        <v>3654</v>
      </c>
      <c r="AJ631" s="5" t="s">
        <v>3</v>
      </c>
      <c r="AK631" s="16" t="s">
        <v>3</v>
      </c>
      <c r="AL631" s="65" t="s">
        <v>3842</v>
      </c>
      <c r="AM631" s="31" t="s">
        <v>1176</v>
      </c>
    </row>
    <row r="632" spans="2:39" x14ac:dyDescent="0.25">
      <c r="B632" s="18" t="s">
        <v>4318</v>
      </c>
      <c r="C632" s="44" t="s">
        <v>1802</v>
      </c>
      <c r="D632" s="20" t="s">
        <v>3654</v>
      </c>
      <c r="E632" s="67" t="s">
        <v>3</v>
      </c>
      <c r="F632" s="51" t="s">
        <v>3</v>
      </c>
      <c r="G632" s="37" t="s">
        <v>2715</v>
      </c>
      <c r="H632" s="68" t="s">
        <v>3842</v>
      </c>
      <c r="I632" s="62" t="s">
        <v>10</v>
      </c>
      <c r="J632" s="61" t="s">
        <v>250</v>
      </c>
      <c r="K632" s="4">
        <v>2999280</v>
      </c>
      <c r="L632" s="39">
        <v>115.884</v>
      </c>
      <c r="M632" s="4">
        <v>3476520</v>
      </c>
      <c r="N632" s="4">
        <v>3000000</v>
      </c>
      <c r="O632" s="4">
        <v>2999421</v>
      </c>
      <c r="P632" s="4">
        <v>0</v>
      </c>
      <c r="Q632" s="4">
        <v>66</v>
      </c>
      <c r="R632" s="4">
        <v>0</v>
      </c>
      <c r="S632" s="4">
        <v>0</v>
      </c>
      <c r="T632" s="23">
        <v>3.9</v>
      </c>
      <c r="U632" s="23">
        <v>3.903</v>
      </c>
      <c r="V632" s="5" t="s">
        <v>3844</v>
      </c>
      <c r="W632" s="4">
        <v>9750</v>
      </c>
      <c r="X632" s="4">
        <v>117000</v>
      </c>
      <c r="Y632" s="11">
        <v>43601</v>
      </c>
      <c r="Z632" s="11">
        <v>46905</v>
      </c>
      <c r="AA632" s="2"/>
      <c r="AB632" s="63" t="s">
        <v>3840</v>
      </c>
      <c r="AC632" s="5" t="s">
        <v>4198</v>
      </c>
      <c r="AD632" s="2"/>
      <c r="AE632" s="11">
        <v>46813</v>
      </c>
      <c r="AF632" s="23">
        <v>100</v>
      </c>
      <c r="AG632" s="6"/>
      <c r="AH632" s="5" t="s">
        <v>1234</v>
      </c>
      <c r="AI632" s="5" t="s">
        <v>3654</v>
      </c>
      <c r="AJ632" s="5" t="s">
        <v>3</v>
      </c>
      <c r="AK632" s="16" t="s">
        <v>3</v>
      </c>
      <c r="AL632" s="65" t="s">
        <v>3842</v>
      </c>
      <c r="AM632" s="31" t="s">
        <v>1176</v>
      </c>
    </row>
    <row r="633" spans="2:39" x14ac:dyDescent="0.25">
      <c r="B633" s="18" t="s">
        <v>1028</v>
      </c>
      <c r="C633" s="44" t="s">
        <v>1803</v>
      </c>
      <c r="D633" s="20" t="s">
        <v>4003</v>
      </c>
      <c r="E633" s="67" t="s">
        <v>3</v>
      </c>
      <c r="F633" s="51" t="s">
        <v>3</v>
      </c>
      <c r="G633" s="37" t="s">
        <v>3842</v>
      </c>
      <c r="H633" s="68" t="s">
        <v>2715</v>
      </c>
      <c r="I633" s="62" t="s">
        <v>1157</v>
      </c>
      <c r="J633" s="61" t="s">
        <v>250</v>
      </c>
      <c r="K633" s="4">
        <v>5073340</v>
      </c>
      <c r="L633" s="39">
        <v>113.191</v>
      </c>
      <c r="M633" s="4">
        <v>5659550</v>
      </c>
      <c r="N633" s="4">
        <v>5000000</v>
      </c>
      <c r="O633" s="4">
        <v>5053973</v>
      </c>
      <c r="P633" s="4">
        <v>0</v>
      </c>
      <c r="Q633" s="4">
        <v>-11658</v>
      </c>
      <c r="R633" s="4">
        <v>0</v>
      </c>
      <c r="S633" s="4">
        <v>0</v>
      </c>
      <c r="T633" s="23">
        <v>3.55</v>
      </c>
      <c r="U633" s="23">
        <v>3.2770000000000001</v>
      </c>
      <c r="V633" s="5" t="s">
        <v>3844</v>
      </c>
      <c r="W633" s="4">
        <v>2465</v>
      </c>
      <c r="X633" s="4">
        <v>177500</v>
      </c>
      <c r="Y633" s="11">
        <v>43553</v>
      </c>
      <c r="Z633" s="11">
        <v>45834</v>
      </c>
      <c r="AA633" s="2"/>
      <c r="AB633" s="63" t="s">
        <v>3840</v>
      </c>
      <c r="AC633" s="5" t="s">
        <v>4198</v>
      </c>
      <c r="AD633" s="2"/>
      <c r="AE633" s="10">
        <v>45773</v>
      </c>
      <c r="AF633" s="23">
        <v>100</v>
      </c>
      <c r="AG633" s="10">
        <v>45773</v>
      </c>
      <c r="AH633" s="5" t="s">
        <v>116</v>
      </c>
      <c r="AI633" s="5" t="s">
        <v>4003</v>
      </c>
      <c r="AJ633" s="5" t="s">
        <v>3</v>
      </c>
      <c r="AK633" s="16" t="s">
        <v>3</v>
      </c>
      <c r="AL633" s="65" t="s">
        <v>3842</v>
      </c>
      <c r="AM633" s="31" t="s">
        <v>1631</v>
      </c>
    </row>
    <row r="634" spans="2:39" x14ac:dyDescent="0.25">
      <c r="B634" s="18" t="s">
        <v>2891</v>
      </c>
      <c r="C634" s="44" t="s">
        <v>4319</v>
      </c>
      <c r="D634" s="20" t="s">
        <v>1804</v>
      </c>
      <c r="E634" s="67" t="s">
        <v>3</v>
      </c>
      <c r="F634" s="51" t="s">
        <v>3</v>
      </c>
      <c r="G634" s="37" t="s">
        <v>3</v>
      </c>
      <c r="H634" s="68" t="s">
        <v>3842</v>
      </c>
      <c r="I634" s="62" t="s">
        <v>3310</v>
      </c>
      <c r="J634" s="61" t="s">
        <v>250</v>
      </c>
      <c r="K634" s="4">
        <v>10000000</v>
      </c>
      <c r="L634" s="39">
        <v>103.637</v>
      </c>
      <c r="M634" s="4">
        <v>10363700</v>
      </c>
      <c r="N634" s="4">
        <v>10000000</v>
      </c>
      <c r="O634" s="4">
        <v>10000000</v>
      </c>
      <c r="P634" s="4">
        <v>0</v>
      </c>
      <c r="Q634" s="4">
        <v>0</v>
      </c>
      <c r="R634" s="4">
        <v>0</v>
      </c>
      <c r="S634" s="4">
        <v>0</v>
      </c>
      <c r="T634" s="23">
        <v>3.09</v>
      </c>
      <c r="U634" s="23">
        <v>3.09</v>
      </c>
      <c r="V634" s="5" t="s">
        <v>248</v>
      </c>
      <c r="W634" s="4">
        <v>112442</v>
      </c>
      <c r="X634" s="4">
        <v>309000</v>
      </c>
      <c r="Y634" s="11">
        <v>42236</v>
      </c>
      <c r="Z634" s="11">
        <v>44793</v>
      </c>
      <c r="AA634" s="2"/>
      <c r="AB634" s="63" t="s">
        <v>2748</v>
      </c>
      <c r="AC634" s="5" t="s">
        <v>3</v>
      </c>
      <c r="AD634" s="2"/>
      <c r="AE634" s="6"/>
      <c r="AF634" s="23"/>
      <c r="AG634" s="6"/>
      <c r="AH634" s="5" t="s">
        <v>3</v>
      </c>
      <c r="AI634" s="5" t="s">
        <v>384</v>
      </c>
      <c r="AJ634" s="5" t="s">
        <v>2546</v>
      </c>
      <c r="AK634" s="16" t="s">
        <v>3</v>
      </c>
      <c r="AL634" s="65" t="s">
        <v>3842</v>
      </c>
      <c r="AM634" s="31" t="s">
        <v>1651</v>
      </c>
    </row>
    <row r="635" spans="2:39" x14ac:dyDescent="0.25">
      <c r="B635" s="18" t="s">
        <v>4004</v>
      </c>
      <c r="C635" s="44" t="s">
        <v>1235</v>
      </c>
      <c r="D635" s="20" t="s">
        <v>3190</v>
      </c>
      <c r="E635" s="67" t="s">
        <v>3</v>
      </c>
      <c r="F635" s="51" t="s">
        <v>3</v>
      </c>
      <c r="G635" s="37" t="s">
        <v>3</v>
      </c>
      <c r="H635" s="68" t="s">
        <v>3842</v>
      </c>
      <c r="I635" s="62" t="s">
        <v>10</v>
      </c>
      <c r="J635" s="61" t="s">
        <v>250</v>
      </c>
      <c r="K635" s="4">
        <v>4039360</v>
      </c>
      <c r="L635" s="39">
        <v>103.762</v>
      </c>
      <c r="M635" s="4">
        <v>4150480</v>
      </c>
      <c r="N635" s="4">
        <v>4000000</v>
      </c>
      <c r="O635" s="4">
        <v>4017689</v>
      </c>
      <c r="P635" s="4">
        <v>0</v>
      </c>
      <c r="Q635" s="4">
        <v>-12479</v>
      </c>
      <c r="R635" s="4">
        <v>0</v>
      </c>
      <c r="S635" s="4">
        <v>0</v>
      </c>
      <c r="T635" s="23">
        <v>3.125</v>
      </c>
      <c r="U635" s="23">
        <v>2.794</v>
      </c>
      <c r="V635" s="5" t="s">
        <v>3312</v>
      </c>
      <c r="W635" s="4">
        <v>15972</v>
      </c>
      <c r="X635" s="4">
        <v>125000</v>
      </c>
      <c r="Y635" s="11">
        <v>43551</v>
      </c>
      <c r="Z635" s="11">
        <v>44696</v>
      </c>
      <c r="AA635" s="2"/>
      <c r="AB635" s="63" t="s">
        <v>3840</v>
      </c>
      <c r="AC635" s="5" t="s">
        <v>4198</v>
      </c>
      <c r="AD635" s="2"/>
      <c r="AE635" s="6"/>
      <c r="AF635" s="23"/>
      <c r="AG635" s="6"/>
      <c r="AH635" s="5" t="s">
        <v>4005</v>
      </c>
      <c r="AI635" s="5" t="s">
        <v>1453</v>
      </c>
      <c r="AJ635" s="5" t="s">
        <v>2100</v>
      </c>
      <c r="AK635" s="16" t="s">
        <v>3</v>
      </c>
      <c r="AL635" s="65" t="s">
        <v>3842</v>
      </c>
      <c r="AM635" s="31" t="s">
        <v>1176</v>
      </c>
    </row>
    <row r="636" spans="2:39" x14ac:dyDescent="0.25">
      <c r="B636" s="18" t="s">
        <v>695</v>
      </c>
      <c r="C636" s="44" t="s">
        <v>4006</v>
      </c>
      <c r="D636" s="20" t="s">
        <v>3409</v>
      </c>
      <c r="E636" s="67" t="s">
        <v>3</v>
      </c>
      <c r="F636" s="51" t="s">
        <v>3</v>
      </c>
      <c r="G636" s="37" t="s">
        <v>3</v>
      </c>
      <c r="H636" s="68" t="s">
        <v>3842</v>
      </c>
      <c r="I636" s="62" t="s">
        <v>3310</v>
      </c>
      <c r="J636" s="61" t="s">
        <v>250</v>
      </c>
      <c r="K636" s="4">
        <v>4798896</v>
      </c>
      <c r="L636" s="39">
        <v>100.35899999999999</v>
      </c>
      <c r="M636" s="4">
        <v>4817232</v>
      </c>
      <c r="N636" s="4">
        <v>4800000</v>
      </c>
      <c r="O636" s="4">
        <v>4799959</v>
      </c>
      <c r="P636" s="4">
        <v>0</v>
      </c>
      <c r="Q636" s="4">
        <v>231</v>
      </c>
      <c r="R636" s="4">
        <v>0</v>
      </c>
      <c r="S636" s="4">
        <v>0</v>
      </c>
      <c r="T636" s="23">
        <v>2.5</v>
      </c>
      <c r="U636" s="23">
        <v>2.5049999999999999</v>
      </c>
      <c r="V636" s="5" t="s">
        <v>12</v>
      </c>
      <c r="W636" s="4">
        <v>39000</v>
      </c>
      <c r="X636" s="4">
        <v>120000</v>
      </c>
      <c r="Y636" s="11">
        <v>42426</v>
      </c>
      <c r="Z636" s="11">
        <v>44259</v>
      </c>
      <c r="AA636" s="2"/>
      <c r="AB636" s="63" t="s">
        <v>3840</v>
      </c>
      <c r="AC636" s="5" t="s">
        <v>4198</v>
      </c>
      <c r="AD636" s="2"/>
      <c r="AE636" s="6"/>
      <c r="AF636" s="23"/>
      <c r="AG636" s="6"/>
      <c r="AH636" s="5" t="s">
        <v>1805</v>
      </c>
      <c r="AI636" s="5" t="s">
        <v>3409</v>
      </c>
      <c r="AJ636" s="5" t="s">
        <v>3</v>
      </c>
      <c r="AK636" s="16" t="s">
        <v>3</v>
      </c>
      <c r="AL636" s="65" t="s">
        <v>3842</v>
      </c>
      <c r="AM636" s="31" t="s">
        <v>1651</v>
      </c>
    </row>
    <row r="637" spans="2:39" x14ac:dyDescent="0.25">
      <c r="B637" s="18" t="s">
        <v>1806</v>
      </c>
      <c r="C637" s="44" t="s">
        <v>696</v>
      </c>
      <c r="D637" s="20" t="s">
        <v>1454</v>
      </c>
      <c r="E637" s="67" t="s">
        <v>3</v>
      </c>
      <c r="F637" s="51" t="s">
        <v>3</v>
      </c>
      <c r="G637" s="37" t="s">
        <v>3842</v>
      </c>
      <c r="H637" s="68" t="s">
        <v>2715</v>
      </c>
      <c r="I637" s="62" t="s">
        <v>2218</v>
      </c>
      <c r="J637" s="61" t="s">
        <v>250</v>
      </c>
      <c r="K637" s="4">
        <v>5000000</v>
      </c>
      <c r="L637" s="39">
        <v>101.15</v>
      </c>
      <c r="M637" s="4">
        <v>5057500</v>
      </c>
      <c r="N637" s="4">
        <v>5000000</v>
      </c>
      <c r="O637" s="4">
        <v>4999998</v>
      </c>
      <c r="P637" s="4">
        <v>0</v>
      </c>
      <c r="Q637" s="4">
        <v>0</v>
      </c>
      <c r="R637" s="4">
        <v>0</v>
      </c>
      <c r="S637" s="4">
        <v>0</v>
      </c>
      <c r="T637" s="23">
        <v>2.0819999999999999</v>
      </c>
      <c r="U637" s="23">
        <v>2.0819999999999999</v>
      </c>
      <c r="V637" s="5" t="s">
        <v>12</v>
      </c>
      <c r="W637" s="4">
        <v>32387</v>
      </c>
      <c r="X637" s="4">
        <v>103522</v>
      </c>
      <c r="Y637" s="11">
        <v>43712</v>
      </c>
      <c r="Z637" s="11">
        <v>44813</v>
      </c>
      <c r="AA637" s="2"/>
      <c r="AB637" s="63" t="s">
        <v>3840</v>
      </c>
      <c r="AC637" s="5" t="s">
        <v>4198</v>
      </c>
      <c r="AD637" s="2"/>
      <c r="AE637" s="11">
        <v>44448</v>
      </c>
      <c r="AF637" s="23">
        <v>100</v>
      </c>
      <c r="AG637" s="9"/>
      <c r="AH637" s="5" t="s">
        <v>4007</v>
      </c>
      <c r="AI637" s="5" t="s">
        <v>1454</v>
      </c>
      <c r="AJ637" s="5" t="s">
        <v>3</v>
      </c>
      <c r="AK637" s="16" t="s">
        <v>3</v>
      </c>
      <c r="AL637" s="65" t="s">
        <v>3842</v>
      </c>
      <c r="AM637" s="31" t="s">
        <v>1351</v>
      </c>
    </row>
    <row r="638" spans="2:39" x14ac:dyDescent="0.25">
      <c r="B638" s="18" t="s">
        <v>2892</v>
      </c>
      <c r="C638" s="44" t="s">
        <v>385</v>
      </c>
      <c r="D638" s="20" t="s">
        <v>3409</v>
      </c>
      <c r="E638" s="67" t="s">
        <v>3</v>
      </c>
      <c r="F638" s="51" t="s">
        <v>3</v>
      </c>
      <c r="G638" s="37" t="s">
        <v>2715</v>
      </c>
      <c r="H638" s="68" t="s">
        <v>2715</v>
      </c>
      <c r="I638" s="62" t="s">
        <v>252</v>
      </c>
      <c r="J638" s="61" t="s">
        <v>250</v>
      </c>
      <c r="K638" s="4">
        <v>4990950</v>
      </c>
      <c r="L638" s="39">
        <v>109.117</v>
      </c>
      <c r="M638" s="4">
        <v>5455850</v>
      </c>
      <c r="N638" s="4">
        <v>5000000</v>
      </c>
      <c r="O638" s="4">
        <v>4994255</v>
      </c>
      <c r="P638" s="4">
        <v>0</v>
      </c>
      <c r="Q638" s="4">
        <v>1737</v>
      </c>
      <c r="R638" s="4">
        <v>0</v>
      </c>
      <c r="S638" s="4">
        <v>0</v>
      </c>
      <c r="T638" s="23">
        <v>3.75</v>
      </c>
      <c r="U638" s="23">
        <v>3.79</v>
      </c>
      <c r="V638" s="5" t="s">
        <v>1982</v>
      </c>
      <c r="W638" s="4">
        <v>81771</v>
      </c>
      <c r="X638" s="4">
        <v>187500</v>
      </c>
      <c r="Y638" s="11">
        <v>43481</v>
      </c>
      <c r="Z638" s="11">
        <v>45315</v>
      </c>
      <c r="AA638" s="2"/>
      <c r="AB638" s="63" t="s">
        <v>3840</v>
      </c>
      <c r="AC638" s="5" t="s">
        <v>4198</v>
      </c>
      <c r="AD638" s="2"/>
      <c r="AE638" s="11">
        <v>45284</v>
      </c>
      <c r="AF638" s="23">
        <v>100</v>
      </c>
      <c r="AG638" s="9"/>
      <c r="AH638" s="5" t="s">
        <v>1805</v>
      </c>
      <c r="AI638" s="5" t="s">
        <v>3409</v>
      </c>
      <c r="AJ638" s="5" t="s">
        <v>3</v>
      </c>
      <c r="AK638" s="16" t="s">
        <v>3</v>
      </c>
      <c r="AL638" s="65" t="s">
        <v>3842</v>
      </c>
      <c r="AM638" s="31" t="s">
        <v>898</v>
      </c>
    </row>
    <row r="639" spans="2:39" x14ac:dyDescent="0.25">
      <c r="B639" s="18" t="s">
        <v>4008</v>
      </c>
      <c r="C639" s="44" t="s">
        <v>1455</v>
      </c>
      <c r="D639" s="20" t="s">
        <v>3409</v>
      </c>
      <c r="E639" s="67" t="s">
        <v>3</v>
      </c>
      <c r="F639" s="51" t="s">
        <v>3</v>
      </c>
      <c r="G639" s="37" t="s">
        <v>2715</v>
      </c>
      <c r="H639" s="68" t="s">
        <v>2715</v>
      </c>
      <c r="I639" s="62" t="s">
        <v>252</v>
      </c>
      <c r="J639" s="61" t="s">
        <v>250</v>
      </c>
      <c r="K639" s="4">
        <v>5000000</v>
      </c>
      <c r="L639" s="39">
        <v>105.642</v>
      </c>
      <c r="M639" s="4">
        <v>5282100</v>
      </c>
      <c r="N639" s="4">
        <v>5000000</v>
      </c>
      <c r="O639" s="4">
        <v>5000000</v>
      </c>
      <c r="P639" s="4">
        <v>0</v>
      </c>
      <c r="Q639" s="4">
        <v>0</v>
      </c>
      <c r="R639" s="4">
        <v>0</v>
      </c>
      <c r="S639" s="4">
        <v>0</v>
      </c>
      <c r="T639" s="23">
        <v>2.4060000000000001</v>
      </c>
      <c r="U639" s="23">
        <v>2.4060000000000001</v>
      </c>
      <c r="V639" s="5" t="s">
        <v>3843</v>
      </c>
      <c r="W639" s="4">
        <v>20384</v>
      </c>
      <c r="X639" s="4">
        <v>120300</v>
      </c>
      <c r="Y639" s="11">
        <v>43763</v>
      </c>
      <c r="Z639" s="11">
        <v>45960</v>
      </c>
      <c r="AA639" s="2"/>
      <c r="AB639" s="63" t="s">
        <v>3840</v>
      </c>
      <c r="AC639" s="5" t="s">
        <v>4198</v>
      </c>
      <c r="AD639" s="2"/>
      <c r="AE639" s="11">
        <v>45595</v>
      </c>
      <c r="AF639" s="23">
        <v>100</v>
      </c>
      <c r="AG639" s="9"/>
      <c r="AH639" s="5" t="s">
        <v>1805</v>
      </c>
      <c r="AI639" s="5" t="s">
        <v>3409</v>
      </c>
      <c r="AJ639" s="5" t="s">
        <v>3</v>
      </c>
      <c r="AK639" s="16" t="s">
        <v>3</v>
      </c>
      <c r="AL639" s="65" t="s">
        <v>3842</v>
      </c>
      <c r="AM639" s="31" t="s">
        <v>898</v>
      </c>
    </row>
    <row r="640" spans="2:39" x14ac:dyDescent="0.25">
      <c r="B640" s="18" t="s">
        <v>697</v>
      </c>
      <c r="C640" s="44" t="s">
        <v>2547</v>
      </c>
      <c r="D640" s="20" t="s">
        <v>3409</v>
      </c>
      <c r="E640" s="67" t="s">
        <v>3</v>
      </c>
      <c r="F640" s="51" t="s">
        <v>3</v>
      </c>
      <c r="G640" s="37" t="s">
        <v>2715</v>
      </c>
      <c r="H640" s="68" t="s">
        <v>2715</v>
      </c>
      <c r="I640" s="62" t="s">
        <v>252</v>
      </c>
      <c r="J640" s="61" t="s">
        <v>250</v>
      </c>
      <c r="K640" s="4">
        <v>10000950</v>
      </c>
      <c r="L640" s="39">
        <v>105.13800000000001</v>
      </c>
      <c r="M640" s="4">
        <v>10513800</v>
      </c>
      <c r="N640" s="4">
        <v>10000000</v>
      </c>
      <c r="O640" s="4">
        <v>10000798</v>
      </c>
      <c r="P640" s="4">
        <v>0</v>
      </c>
      <c r="Q640" s="4">
        <v>-152</v>
      </c>
      <c r="R640" s="4">
        <v>0</v>
      </c>
      <c r="S640" s="4">
        <v>0</v>
      </c>
      <c r="T640" s="23">
        <v>2.1640000000000001</v>
      </c>
      <c r="U640" s="23">
        <v>2.1619999999999999</v>
      </c>
      <c r="V640" s="5" t="s">
        <v>248</v>
      </c>
      <c r="W640" s="4">
        <v>84156</v>
      </c>
      <c r="X640" s="4">
        <v>108200</v>
      </c>
      <c r="Y640" s="11">
        <v>43873</v>
      </c>
      <c r="Z640" s="11">
        <v>46064</v>
      </c>
      <c r="AA640" s="2"/>
      <c r="AB640" s="63" t="s">
        <v>3840</v>
      </c>
      <c r="AC640" s="5" t="s">
        <v>4198</v>
      </c>
      <c r="AD640" s="2"/>
      <c r="AE640" s="10">
        <v>45699</v>
      </c>
      <c r="AF640" s="23">
        <v>100</v>
      </c>
      <c r="AG640" s="10">
        <v>45699</v>
      </c>
      <c r="AH640" s="5" t="s">
        <v>1805</v>
      </c>
      <c r="AI640" s="5" t="s">
        <v>3409</v>
      </c>
      <c r="AJ640" s="5" t="s">
        <v>3</v>
      </c>
      <c r="AK640" s="16" t="s">
        <v>3</v>
      </c>
      <c r="AL640" s="65" t="s">
        <v>3842</v>
      </c>
      <c r="AM640" s="31" t="s">
        <v>898</v>
      </c>
    </row>
    <row r="641" spans="2:39" x14ac:dyDescent="0.25">
      <c r="B641" s="18" t="s">
        <v>2101</v>
      </c>
      <c r="C641" s="44" t="s">
        <v>2548</v>
      </c>
      <c r="D641" s="20" t="s">
        <v>1236</v>
      </c>
      <c r="E641" s="67" t="s">
        <v>3</v>
      </c>
      <c r="F641" s="51" t="s">
        <v>3</v>
      </c>
      <c r="G641" s="37" t="s">
        <v>2715</v>
      </c>
      <c r="H641" s="68" t="s">
        <v>3842</v>
      </c>
      <c r="I641" s="62" t="s">
        <v>1157</v>
      </c>
      <c r="J641" s="61" t="s">
        <v>250</v>
      </c>
      <c r="K641" s="4">
        <v>4990250</v>
      </c>
      <c r="L641" s="39">
        <v>109.45399999999999</v>
      </c>
      <c r="M641" s="4">
        <v>5472700</v>
      </c>
      <c r="N641" s="4">
        <v>5000000</v>
      </c>
      <c r="O641" s="4">
        <v>4994058</v>
      </c>
      <c r="P641" s="4">
        <v>0</v>
      </c>
      <c r="Q641" s="4">
        <v>1699</v>
      </c>
      <c r="R641" s="4">
        <v>0</v>
      </c>
      <c r="S641" s="4">
        <v>0</v>
      </c>
      <c r="T641" s="23">
        <v>4.1500000000000004</v>
      </c>
      <c r="U641" s="23">
        <v>4.1900000000000004</v>
      </c>
      <c r="V641" s="5" t="s">
        <v>12</v>
      </c>
      <c r="W641" s="4">
        <v>61097</v>
      </c>
      <c r="X641" s="4">
        <v>220000</v>
      </c>
      <c r="Y641" s="11">
        <v>43355</v>
      </c>
      <c r="Z641" s="11">
        <v>45366</v>
      </c>
      <c r="AA641" s="2"/>
      <c r="AB641" s="63" t="s">
        <v>3840</v>
      </c>
      <c r="AC641" s="5" t="s">
        <v>4198</v>
      </c>
      <c r="AD641" s="2"/>
      <c r="AE641" s="10">
        <v>45337</v>
      </c>
      <c r="AF641" s="23">
        <v>100</v>
      </c>
      <c r="AG641" s="6"/>
      <c r="AH641" s="5" t="s">
        <v>2893</v>
      </c>
      <c r="AI641" s="5" t="s">
        <v>3410</v>
      </c>
      <c r="AJ641" s="5" t="s">
        <v>3655</v>
      </c>
      <c r="AK641" s="16" t="s">
        <v>3</v>
      </c>
      <c r="AL641" s="65" t="s">
        <v>3842</v>
      </c>
      <c r="AM641" s="31" t="s">
        <v>926</v>
      </c>
    </row>
    <row r="642" spans="2:39" x14ac:dyDescent="0.25">
      <c r="B642" s="18" t="s">
        <v>3191</v>
      </c>
      <c r="C642" s="44" t="s">
        <v>3656</v>
      </c>
      <c r="D642" s="20" t="s">
        <v>2894</v>
      </c>
      <c r="E642" s="67" t="s">
        <v>3</v>
      </c>
      <c r="F642" s="51" t="s">
        <v>3</v>
      </c>
      <c r="G642" s="37" t="s">
        <v>2715</v>
      </c>
      <c r="H642" s="68" t="s">
        <v>3842</v>
      </c>
      <c r="I642" s="62" t="s">
        <v>1157</v>
      </c>
      <c r="J642" s="61" t="s">
        <v>250</v>
      </c>
      <c r="K642" s="4">
        <v>2996760</v>
      </c>
      <c r="L642" s="39">
        <v>107.797</v>
      </c>
      <c r="M642" s="4">
        <v>3233910</v>
      </c>
      <c r="N642" s="4">
        <v>3000000</v>
      </c>
      <c r="O642" s="4">
        <v>2997043</v>
      </c>
      <c r="P642" s="4">
        <v>0</v>
      </c>
      <c r="Q642" s="4">
        <v>283</v>
      </c>
      <c r="R642" s="4">
        <v>0</v>
      </c>
      <c r="S642" s="4">
        <v>0</v>
      </c>
      <c r="T642" s="23">
        <v>3.2</v>
      </c>
      <c r="U642" s="23">
        <v>3.2240000000000002</v>
      </c>
      <c r="V642" s="5" t="s">
        <v>3844</v>
      </c>
      <c r="W642" s="4">
        <v>4267</v>
      </c>
      <c r="X642" s="4">
        <v>44267</v>
      </c>
      <c r="Y642" s="11">
        <v>43998</v>
      </c>
      <c r="Z642" s="11">
        <v>45823</v>
      </c>
      <c r="AA642" s="2"/>
      <c r="AB642" s="63" t="s">
        <v>3840</v>
      </c>
      <c r="AC642" s="5" t="s">
        <v>4198</v>
      </c>
      <c r="AD642" s="2"/>
      <c r="AE642" s="10">
        <v>45792</v>
      </c>
      <c r="AF642" s="23">
        <v>100</v>
      </c>
      <c r="AG642" s="6"/>
      <c r="AH642" s="5" t="s">
        <v>2893</v>
      </c>
      <c r="AI642" s="5" t="s">
        <v>3411</v>
      </c>
      <c r="AJ642" s="5" t="s">
        <v>3411</v>
      </c>
      <c r="AK642" s="16" t="s">
        <v>3</v>
      </c>
      <c r="AL642" s="65" t="s">
        <v>3842</v>
      </c>
      <c r="AM642" s="31" t="s">
        <v>926</v>
      </c>
    </row>
    <row r="643" spans="2:39" x14ac:dyDescent="0.25">
      <c r="B643" s="18" t="s">
        <v>4320</v>
      </c>
      <c r="C643" s="44" t="s">
        <v>4321</v>
      </c>
      <c r="D643" s="20" t="s">
        <v>2549</v>
      </c>
      <c r="E643" s="67" t="s">
        <v>3</v>
      </c>
      <c r="F643" s="51" t="s">
        <v>3</v>
      </c>
      <c r="G643" s="37" t="s">
        <v>2715</v>
      </c>
      <c r="H643" s="68" t="s">
        <v>3842</v>
      </c>
      <c r="I643" s="62" t="s">
        <v>10</v>
      </c>
      <c r="J643" s="61" t="s">
        <v>250</v>
      </c>
      <c r="K643" s="4">
        <v>2554525</v>
      </c>
      <c r="L643" s="39">
        <v>103.607</v>
      </c>
      <c r="M643" s="4">
        <v>2590175</v>
      </c>
      <c r="N643" s="4">
        <v>2500000</v>
      </c>
      <c r="O643" s="4">
        <v>2527202</v>
      </c>
      <c r="P643" s="4">
        <v>0</v>
      </c>
      <c r="Q643" s="4">
        <v>-20408</v>
      </c>
      <c r="R643" s="4">
        <v>0</v>
      </c>
      <c r="S643" s="4">
        <v>0</v>
      </c>
      <c r="T643" s="23">
        <v>3.6</v>
      </c>
      <c r="U643" s="23">
        <v>2.7370000000000001</v>
      </c>
      <c r="V643" s="5" t="s">
        <v>1982</v>
      </c>
      <c r="W643" s="4">
        <v>41500</v>
      </c>
      <c r="X643" s="4">
        <v>90000</v>
      </c>
      <c r="Y643" s="11">
        <v>43699</v>
      </c>
      <c r="Z643" s="11">
        <v>44757</v>
      </c>
      <c r="AA643" s="2"/>
      <c r="AB643" s="63" t="s">
        <v>3840</v>
      </c>
      <c r="AC643" s="5" t="s">
        <v>9</v>
      </c>
      <c r="AD643" s="2"/>
      <c r="AE643" s="11">
        <v>44666</v>
      </c>
      <c r="AF643" s="23">
        <v>100</v>
      </c>
      <c r="AG643" s="10">
        <v>44666</v>
      </c>
      <c r="AH643" s="5" t="s">
        <v>2310</v>
      </c>
      <c r="AI643" s="5" t="s">
        <v>2549</v>
      </c>
      <c r="AJ643" s="5" t="s">
        <v>3</v>
      </c>
      <c r="AK643" s="16" t="s">
        <v>3</v>
      </c>
      <c r="AL643" s="65" t="s">
        <v>2715</v>
      </c>
      <c r="AM643" s="31" t="s">
        <v>1176</v>
      </c>
    </row>
    <row r="644" spans="2:39" x14ac:dyDescent="0.25">
      <c r="B644" s="18" t="s">
        <v>1807</v>
      </c>
      <c r="C644" s="44" t="s">
        <v>4322</v>
      </c>
      <c r="D644" s="20" t="s">
        <v>2549</v>
      </c>
      <c r="E644" s="67" t="s">
        <v>3</v>
      </c>
      <c r="F644" s="51" t="s">
        <v>3</v>
      </c>
      <c r="G644" s="37" t="s">
        <v>2715</v>
      </c>
      <c r="H644" s="68" t="s">
        <v>3842</v>
      </c>
      <c r="I644" s="62" t="s">
        <v>10</v>
      </c>
      <c r="J644" s="61" t="s">
        <v>250</v>
      </c>
      <c r="K644" s="4">
        <v>9985895</v>
      </c>
      <c r="L644" s="39">
        <v>112.399</v>
      </c>
      <c r="M644" s="4">
        <v>11577097</v>
      </c>
      <c r="N644" s="4">
        <v>10300000</v>
      </c>
      <c r="O644" s="4">
        <v>10063594</v>
      </c>
      <c r="P644" s="4">
        <v>0</v>
      </c>
      <c r="Q644" s="4">
        <v>36325</v>
      </c>
      <c r="R644" s="4">
        <v>0</v>
      </c>
      <c r="S644" s="4">
        <v>0</v>
      </c>
      <c r="T644" s="23">
        <v>3.6</v>
      </c>
      <c r="U644" s="23">
        <v>4.0570000000000004</v>
      </c>
      <c r="V644" s="5" t="s">
        <v>248</v>
      </c>
      <c r="W644" s="4">
        <v>140080</v>
      </c>
      <c r="X644" s="4">
        <v>370800</v>
      </c>
      <c r="Y644" s="11">
        <v>43627</v>
      </c>
      <c r="Z644" s="11">
        <v>46249</v>
      </c>
      <c r="AA644" s="2"/>
      <c r="AB644" s="63" t="s">
        <v>3840</v>
      </c>
      <c r="AC644" s="5" t="s">
        <v>4198</v>
      </c>
      <c r="AD644" s="2"/>
      <c r="AE644" s="11">
        <v>46157</v>
      </c>
      <c r="AF644" s="23">
        <v>100</v>
      </c>
      <c r="AG644" s="6"/>
      <c r="AH644" s="5" t="s">
        <v>2310</v>
      </c>
      <c r="AI644" s="5" t="s">
        <v>2549</v>
      </c>
      <c r="AJ644" s="5" t="s">
        <v>3</v>
      </c>
      <c r="AK644" s="16" t="s">
        <v>3</v>
      </c>
      <c r="AL644" s="65" t="s">
        <v>3842</v>
      </c>
      <c r="AM644" s="31" t="s">
        <v>1176</v>
      </c>
    </row>
    <row r="645" spans="2:39" x14ac:dyDescent="0.25">
      <c r="B645" s="18" t="s">
        <v>2895</v>
      </c>
      <c r="C645" s="44" t="s">
        <v>117</v>
      </c>
      <c r="D645" s="20" t="s">
        <v>3654</v>
      </c>
      <c r="E645" s="67" t="s">
        <v>3</v>
      </c>
      <c r="F645" s="51" t="s">
        <v>3</v>
      </c>
      <c r="G645" s="37" t="s">
        <v>2715</v>
      </c>
      <c r="H645" s="68" t="s">
        <v>3842</v>
      </c>
      <c r="I645" s="62" t="s">
        <v>10</v>
      </c>
      <c r="J645" s="61" t="s">
        <v>250</v>
      </c>
      <c r="K645" s="4">
        <v>5006550</v>
      </c>
      <c r="L645" s="39">
        <v>111.71299999999999</v>
      </c>
      <c r="M645" s="4">
        <v>5585650</v>
      </c>
      <c r="N645" s="4">
        <v>5000000</v>
      </c>
      <c r="O645" s="4">
        <v>5005618</v>
      </c>
      <c r="P645" s="4">
        <v>0</v>
      </c>
      <c r="Q645" s="4">
        <v>-735</v>
      </c>
      <c r="R645" s="4">
        <v>0</v>
      </c>
      <c r="S645" s="4">
        <v>0</v>
      </c>
      <c r="T645" s="23">
        <v>3.375</v>
      </c>
      <c r="U645" s="23">
        <v>3.3559999999999999</v>
      </c>
      <c r="V645" s="5" t="s">
        <v>12</v>
      </c>
      <c r="W645" s="4">
        <v>49688</v>
      </c>
      <c r="X645" s="4">
        <v>168750</v>
      </c>
      <c r="Y645" s="11">
        <v>43642</v>
      </c>
      <c r="Z645" s="11">
        <v>46645</v>
      </c>
      <c r="AA645" s="2"/>
      <c r="AB645" s="63" t="s">
        <v>3840</v>
      </c>
      <c r="AC645" s="5" t="s">
        <v>4198</v>
      </c>
      <c r="AD645" s="2"/>
      <c r="AE645" s="10">
        <v>46553</v>
      </c>
      <c r="AF645" s="23">
        <v>100</v>
      </c>
      <c r="AG645" s="10">
        <v>46553</v>
      </c>
      <c r="AH645" s="5" t="s">
        <v>1234</v>
      </c>
      <c r="AI645" s="5" t="s">
        <v>3654</v>
      </c>
      <c r="AJ645" s="5" t="s">
        <v>3</v>
      </c>
      <c r="AK645" s="16" t="s">
        <v>3</v>
      </c>
      <c r="AL645" s="65" t="s">
        <v>3842</v>
      </c>
      <c r="AM645" s="31" t="s">
        <v>1176</v>
      </c>
    </row>
    <row r="646" spans="2:39" x14ac:dyDescent="0.25">
      <c r="B646" s="18" t="s">
        <v>4009</v>
      </c>
      <c r="C646" s="44" t="s">
        <v>2311</v>
      </c>
      <c r="D646" s="20" t="s">
        <v>118</v>
      </c>
      <c r="E646" s="67" t="s">
        <v>3</v>
      </c>
      <c r="F646" s="51" t="s">
        <v>3</v>
      </c>
      <c r="G646" s="37" t="s">
        <v>2715</v>
      </c>
      <c r="H646" s="68" t="s">
        <v>3842</v>
      </c>
      <c r="I646" s="62" t="s">
        <v>10</v>
      </c>
      <c r="J646" s="61" t="s">
        <v>250</v>
      </c>
      <c r="K646" s="4">
        <v>9698760</v>
      </c>
      <c r="L646" s="39">
        <v>114.36199999999999</v>
      </c>
      <c r="M646" s="4">
        <v>10292580</v>
      </c>
      <c r="N646" s="4">
        <v>9000000</v>
      </c>
      <c r="O646" s="4">
        <v>9644247</v>
      </c>
      <c r="P646" s="4">
        <v>0</v>
      </c>
      <c r="Q646" s="4">
        <v>-54513</v>
      </c>
      <c r="R646" s="4">
        <v>0</v>
      </c>
      <c r="S646" s="4">
        <v>0</v>
      </c>
      <c r="T646" s="23">
        <v>3.75</v>
      </c>
      <c r="U646" s="23">
        <v>2.4980000000000002</v>
      </c>
      <c r="V646" s="5" t="s">
        <v>3844</v>
      </c>
      <c r="W646" s="4">
        <v>15000</v>
      </c>
      <c r="X646" s="4">
        <v>337500</v>
      </c>
      <c r="Y646" s="11">
        <v>43985</v>
      </c>
      <c r="Z646" s="11">
        <v>46553</v>
      </c>
      <c r="AA646" s="2"/>
      <c r="AB646" s="63" t="s">
        <v>3840</v>
      </c>
      <c r="AC646" s="5" t="s">
        <v>4198</v>
      </c>
      <c r="AD646" s="2"/>
      <c r="AE646" s="10">
        <v>46461</v>
      </c>
      <c r="AF646" s="23">
        <v>100</v>
      </c>
      <c r="AG646" s="10">
        <v>46461</v>
      </c>
      <c r="AH646" s="5" t="s">
        <v>2102</v>
      </c>
      <c r="AI646" s="5" t="s">
        <v>118</v>
      </c>
      <c r="AJ646" s="5" t="s">
        <v>3</v>
      </c>
      <c r="AK646" s="16" t="s">
        <v>3</v>
      </c>
      <c r="AL646" s="65" t="s">
        <v>3842</v>
      </c>
      <c r="AM646" s="31" t="s">
        <v>1176</v>
      </c>
    </row>
    <row r="647" spans="2:39" x14ac:dyDescent="0.25">
      <c r="B647" s="18" t="s">
        <v>698</v>
      </c>
      <c r="C647" s="44" t="s">
        <v>1029</v>
      </c>
      <c r="D647" s="20" t="s">
        <v>1456</v>
      </c>
      <c r="E647" s="67" t="s">
        <v>3</v>
      </c>
      <c r="F647" s="51" t="s">
        <v>3</v>
      </c>
      <c r="G647" s="37" t="s">
        <v>3842</v>
      </c>
      <c r="H647" s="68" t="s">
        <v>3842</v>
      </c>
      <c r="I647" s="62" t="s">
        <v>10</v>
      </c>
      <c r="J647" s="61" t="s">
        <v>250</v>
      </c>
      <c r="K647" s="4">
        <v>2997420</v>
      </c>
      <c r="L647" s="39">
        <v>109.22499999999999</v>
      </c>
      <c r="M647" s="4">
        <v>3276750</v>
      </c>
      <c r="N647" s="4">
        <v>3000000</v>
      </c>
      <c r="O647" s="4">
        <v>2998675</v>
      </c>
      <c r="P647" s="4">
        <v>0</v>
      </c>
      <c r="Q647" s="4">
        <v>363</v>
      </c>
      <c r="R647" s="4">
        <v>0</v>
      </c>
      <c r="S647" s="4">
        <v>0</v>
      </c>
      <c r="T647" s="23">
        <v>3.6</v>
      </c>
      <c r="U647" s="23">
        <v>3.6139999999999999</v>
      </c>
      <c r="V647" s="5" t="s">
        <v>3312</v>
      </c>
      <c r="W647" s="4">
        <v>13800</v>
      </c>
      <c r="X647" s="4">
        <v>108000</v>
      </c>
      <c r="Y647" s="11">
        <v>42866</v>
      </c>
      <c r="Z647" s="11">
        <v>45427</v>
      </c>
      <c r="AA647" s="2"/>
      <c r="AB647" s="63" t="s">
        <v>3840</v>
      </c>
      <c r="AC647" s="5" t="s">
        <v>4198</v>
      </c>
      <c r="AD647" s="2"/>
      <c r="AE647" s="11">
        <v>45245</v>
      </c>
      <c r="AF647" s="23">
        <v>100</v>
      </c>
      <c r="AG647" s="9"/>
      <c r="AH647" s="5" t="s">
        <v>3</v>
      </c>
      <c r="AI647" s="5" t="s">
        <v>1456</v>
      </c>
      <c r="AJ647" s="5" t="s">
        <v>3</v>
      </c>
      <c r="AK647" s="16" t="s">
        <v>3</v>
      </c>
      <c r="AL647" s="65" t="s">
        <v>3842</v>
      </c>
      <c r="AM647" s="31" t="s">
        <v>1176</v>
      </c>
    </row>
    <row r="648" spans="2:39" x14ac:dyDescent="0.25">
      <c r="B648" s="18" t="s">
        <v>1808</v>
      </c>
      <c r="C648" s="44" t="s">
        <v>2312</v>
      </c>
      <c r="D648" s="20" t="s">
        <v>119</v>
      </c>
      <c r="E648" s="67" t="s">
        <v>3</v>
      </c>
      <c r="F648" s="51" t="s">
        <v>3</v>
      </c>
      <c r="G648" s="37" t="s">
        <v>3</v>
      </c>
      <c r="H648" s="68" t="s">
        <v>2715</v>
      </c>
      <c r="I648" s="62" t="s">
        <v>252</v>
      </c>
      <c r="J648" s="61" t="s">
        <v>3</v>
      </c>
      <c r="K648" s="4">
        <v>5000000</v>
      </c>
      <c r="L648" s="39">
        <v>104.47499999999999</v>
      </c>
      <c r="M648" s="4">
        <v>5223750</v>
      </c>
      <c r="N648" s="4">
        <v>5000000</v>
      </c>
      <c r="O648" s="4">
        <v>5000000</v>
      </c>
      <c r="P648" s="4">
        <v>0</v>
      </c>
      <c r="Q648" s="4">
        <v>0</v>
      </c>
      <c r="R648" s="4">
        <v>0</v>
      </c>
      <c r="S648" s="4">
        <v>0</v>
      </c>
      <c r="T648" s="23">
        <v>2.38</v>
      </c>
      <c r="U648" s="23">
        <v>2.38</v>
      </c>
      <c r="V648" s="5" t="s">
        <v>3312</v>
      </c>
      <c r="W648" s="4">
        <v>19833</v>
      </c>
      <c r="X648" s="4">
        <v>121314</v>
      </c>
      <c r="Y648" s="11">
        <v>43762</v>
      </c>
      <c r="Z648" s="11">
        <v>45597</v>
      </c>
      <c r="AA648" s="2"/>
      <c r="AB648" s="63" t="s">
        <v>1684</v>
      </c>
      <c r="AC648" s="5" t="s">
        <v>3</v>
      </c>
      <c r="AD648" s="2"/>
      <c r="AE648" s="9"/>
      <c r="AF648" s="23"/>
      <c r="AG648" s="9"/>
      <c r="AH648" s="5" t="s">
        <v>1457</v>
      </c>
      <c r="AI648" s="5" t="s">
        <v>119</v>
      </c>
      <c r="AJ648" s="5" t="s">
        <v>3</v>
      </c>
      <c r="AK648" s="16" t="s">
        <v>3</v>
      </c>
      <c r="AL648" s="65" t="s">
        <v>3842</v>
      </c>
      <c r="AM648" s="31" t="s">
        <v>3967</v>
      </c>
    </row>
    <row r="649" spans="2:39" x14ac:dyDescent="0.25">
      <c r="B649" s="18" t="s">
        <v>3192</v>
      </c>
      <c r="C649" s="44" t="s">
        <v>1458</v>
      </c>
      <c r="D649" s="20" t="s">
        <v>3193</v>
      </c>
      <c r="E649" s="67" t="s">
        <v>3</v>
      </c>
      <c r="F649" s="51" t="s">
        <v>3</v>
      </c>
      <c r="G649" s="37" t="s">
        <v>3</v>
      </c>
      <c r="H649" s="68" t="s">
        <v>3842</v>
      </c>
      <c r="I649" s="62" t="s">
        <v>3310</v>
      </c>
      <c r="J649" s="61" t="s">
        <v>250</v>
      </c>
      <c r="K649" s="4">
        <v>5000000</v>
      </c>
      <c r="L649" s="39">
        <v>104.265</v>
      </c>
      <c r="M649" s="4">
        <v>5213250</v>
      </c>
      <c r="N649" s="4">
        <v>5000000</v>
      </c>
      <c r="O649" s="4">
        <v>5000000</v>
      </c>
      <c r="P649" s="4">
        <v>0</v>
      </c>
      <c r="Q649" s="4">
        <v>0</v>
      </c>
      <c r="R649" s="4">
        <v>0</v>
      </c>
      <c r="S649" s="4">
        <v>0</v>
      </c>
      <c r="T649" s="23">
        <v>3.43</v>
      </c>
      <c r="U649" s="23">
        <v>3.43</v>
      </c>
      <c r="V649" s="5" t="s">
        <v>12</v>
      </c>
      <c r="W649" s="4">
        <v>57167</v>
      </c>
      <c r="X649" s="4">
        <v>171500</v>
      </c>
      <c r="Y649" s="11">
        <v>42248</v>
      </c>
      <c r="Z649" s="11">
        <v>44805</v>
      </c>
      <c r="AA649" s="2"/>
      <c r="AB649" s="63" t="s">
        <v>2748</v>
      </c>
      <c r="AC649" s="5" t="s">
        <v>3</v>
      </c>
      <c r="AD649" s="2"/>
      <c r="AE649" s="6"/>
      <c r="AF649" s="23"/>
      <c r="AG649" s="6"/>
      <c r="AH649" s="5" t="s">
        <v>3</v>
      </c>
      <c r="AI649" s="5" t="s">
        <v>3193</v>
      </c>
      <c r="AJ649" s="5" t="s">
        <v>3</v>
      </c>
      <c r="AK649" s="16" t="s">
        <v>3</v>
      </c>
      <c r="AL649" s="65" t="s">
        <v>3842</v>
      </c>
      <c r="AM649" s="31" t="s">
        <v>1651</v>
      </c>
    </row>
    <row r="650" spans="2:39" x14ac:dyDescent="0.25">
      <c r="B650" s="18" t="s">
        <v>4323</v>
      </c>
      <c r="C650" s="44" t="s">
        <v>2550</v>
      </c>
      <c r="D650" s="20" t="s">
        <v>3193</v>
      </c>
      <c r="E650" s="67" t="s">
        <v>3</v>
      </c>
      <c r="F650" s="51" t="s">
        <v>3</v>
      </c>
      <c r="G650" s="37" t="s">
        <v>3</v>
      </c>
      <c r="H650" s="68" t="s">
        <v>3842</v>
      </c>
      <c r="I650" s="62" t="s">
        <v>3310</v>
      </c>
      <c r="J650" s="61" t="s">
        <v>250</v>
      </c>
      <c r="K650" s="4">
        <v>3000000</v>
      </c>
      <c r="L650" s="39">
        <v>108.934</v>
      </c>
      <c r="M650" s="4">
        <v>3268020</v>
      </c>
      <c r="N650" s="4">
        <v>3000000</v>
      </c>
      <c r="O650" s="4">
        <v>3000000</v>
      </c>
      <c r="P650" s="4">
        <v>0</v>
      </c>
      <c r="Q650" s="4">
        <v>0</v>
      </c>
      <c r="R650" s="4">
        <v>0</v>
      </c>
      <c r="S650" s="4">
        <v>0</v>
      </c>
      <c r="T650" s="23">
        <v>3.44</v>
      </c>
      <c r="U650" s="23">
        <v>3.44</v>
      </c>
      <c r="V650" s="5" t="s">
        <v>3312</v>
      </c>
      <c r="W650" s="4">
        <v>8887</v>
      </c>
      <c r="X650" s="4">
        <v>103200</v>
      </c>
      <c r="Y650" s="11">
        <v>43069</v>
      </c>
      <c r="Z650" s="11">
        <v>45626</v>
      </c>
      <c r="AA650" s="2"/>
      <c r="AB650" s="63" t="s">
        <v>2748</v>
      </c>
      <c r="AC650" s="5" t="s">
        <v>3</v>
      </c>
      <c r="AD650" s="2"/>
      <c r="AE650" s="6"/>
      <c r="AF650" s="23"/>
      <c r="AG650" s="6"/>
      <c r="AH650" s="5" t="s">
        <v>3</v>
      </c>
      <c r="AI650" s="5" t="s">
        <v>3193</v>
      </c>
      <c r="AJ650" s="5" t="s">
        <v>3</v>
      </c>
      <c r="AK650" s="16" t="s">
        <v>3</v>
      </c>
      <c r="AL650" s="65" t="s">
        <v>3842</v>
      </c>
      <c r="AM650" s="31" t="s">
        <v>1651</v>
      </c>
    </row>
    <row r="651" spans="2:39" x14ac:dyDescent="0.25">
      <c r="B651" s="18" t="s">
        <v>1030</v>
      </c>
      <c r="C651" s="44" t="s">
        <v>1237</v>
      </c>
      <c r="D651" s="20" t="s">
        <v>4324</v>
      </c>
      <c r="E651" s="67" t="s">
        <v>3</v>
      </c>
      <c r="F651" s="51" t="s">
        <v>3</v>
      </c>
      <c r="G651" s="37" t="s">
        <v>2715</v>
      </c>
      <c r="H651" s="68" t="s">
        <v>929</v>
      </c>
      <c r="I651" s="62" t="s">
        <v>1157</v>
      </c>
      <c r="J651" s="61" t="s">
        <v>250</v>
      </c>
      <c r="K651" s="4">
        <v>3282188</v>
      </c>
      <c r="L651" s="39">
        <v>101.79600000000001</v>
      </c>
      <c r="M651" s="4">
        <v>3435615</v>
      </c>
      <c r="N651" s="4">
        <v>3375000</v>
      </c>
      <c r="O651" s="4">
        <v>3300098</v>
      </c>
      <c r="P651" s="4">
        <v>0</v>
      </c>
      <c r="Q651" s="4">
        <v>11007</v>
      </c>
      <c r="R651" s="4">
        <v>0</v>
      </c>
      <c r="S651" s="4">
        <v>0</v>
      </c>
      <c r="T651" s="23">
        <v>5</v>
      </c>
      <c r="U651" s="23">
        <v>5.4610000000000003</v>
      </c>
      <c r="V651" s="5" t="s">
        <v>12</v>
      </c>
      <c r="W651" s="4">
        <v>56250</v>
      </c>
      <c r="X651" s="4">
        <v>168750</v>
      </c>
      <c r="Y651" s="11">
        <v>43598</v>
      </c>
      <c r="Z651" s="11">
        <v>46266</v>
      </c>
      <c r="AA651" s="2"/>
      <c r="AB651" s="63" t="s">
        <v>3840</v>
      </c>
      <c r="AC651" s="5" t="s">
        <v>4198</v>
      </c>
      <c r="AD651" s="2"/>
      <c r="AE651" s="10">
        <v>44440</v>
      </c>
      <c r="AF651" s="23">
        <v>102.5</v>
      </c>
      <c r="AG651" s="6"/>
      <c r="AH651" s="5" t="s">
        <v>1031</v>
      </c>
      <c r="AI651" s="5" t="s">
        <v>1809</v>
      </c>
      <c r="AJ651" s="5" t="s">
        <v>928</v>
      </c>
      <c r="AK651" s="16" t="s">
        <v>3</v>
      </c>
      <c r="AL651" s="65" t="s">
        <v>3842</v>
      </c>
      <c r="AM651" s="31" t="s">
        <v>276</v>
      </c>
    </row>
    <row r="652" spans="2:39" x14ac:dyDescent="0.25">
      <c r="B652" s="18" t="s">
        <v>2103</v>
      </c>
      <c r="C652" s="44" t="s">
        <v>3194</v>
      </c>
      <c r="D652" s="20" t="s">
        <v>1810</v>
      </c>
      <c r="E652" s="67" t="s">
        <v>3</v>
      </c>
      <c r="F652" s="51" t="s">
        <v>3</v>
      </c>
      <c r="G652" s="37" t="s">
        <v>2715</v>
      </c>
      <c r="H652" s="68" t="s">
        <v>3842</v>
      </c>
      <c r="I652" s="62" t="s">
        <v>10</v>
      </c>
      <c r="J652" s="61" t="s">
        <v>250</v>
      </c>
      <c r="K652" s="4">
        <v>9950100</v>
      </c>
      <c r="L652" s="39">
        <v>105.571</v>
      </c>
      <c r="M652" s="4">
        <v>10557100</v>
      </c>
      <c r="N652" s="4">
        <v>10000000</v>
      </c>
      <c r="O652" s="4">
        <v>9953316</v>
      </c>
      <c r="P652" s="4">
        <v>0</v>
      </c>
      <c r="Q652" s="4">
        <v>3216</v>
      </c>
      <c r="R652" s="4">
        <v>0</v>
      </c>
      <c r="S652" s="4">
        <v>0</v>
      </c>
      <c r="T652" s="23">
        <v>1.95</v>
      </c>
      <c r="U652" s="23">
        <v>2.0209999999999999</v>
      </c>
      <c r="V652" s="5" t="s">
        <v>1982</v>
      </c>
      <c r="W652" s="4">
        <v>100208</v>
      </c>
      <c r="X652" s="4">
        <v>0</v>
      </c>
      <c r="Y652" s="11">
        <v>44006</v>
      </c>
      <c r="Z652" s="11">
        <v>46782</v>
      </c>
      <c r="AA652" s="2"/>
      <c r="AB652" s="63" t="s">
        <v>3840</v>
      </c>
      <c r="AC652" s="5" t="s">
        <v>4198</v>
      </c>
      <c r="AD652" s="2"/>
      <c r="AE652" s="10">
        <v>46721</v>
      </c>
      <c r="AF652" s="23">
        <v>100</v>
      </c>
      <c r="AG652" s="6"/>
      <c r="AH652" s="5" t="s">
        <v>3</v>
      </c>
      <c r="AI652" s="5" t="s">
        <v>1810</v>
      </c>
      <c r="AJ652" s="5" t="s">
        <v>3</v>
      </c>
      <c r="AK652" s="16" t="s">
        <v>3</v>
      </c>
      <c r="AL652" s="65" t="s">
        <v>3842</v>
      </c>
      <c r="AM652" s="31" t="s">
        <v>1176</v>
      </c>
    </row>
    <row r="653" spans="2:39" x14ac:dyDescent="0.25">
      <c r="B653" s="18" t="s">
        <v>3195</v>
      </c>
      <c r="C653" s="44" t="s">
        <v>1032</v>
      </c>
      <c r="D653" s="20" t="s">
        <v>1238</v>
      </c>
      <c r="E653" s="67" t="s">
        <v>3</v>
      </c>
      <c r="F653" s="51" t="s">
        <v>3</v>
      </c>
      <c r="G653" s="37" t="s">
        <v>2715</v>
      </c>
      <c r="H653" s="68" t="s">
        <v>3842</v>
      </c>
      <c r="I653" s="62" t="s">
        <v>10</v>
      </c>
      <c r="J653" s="61" t="s">
        <v>250</v>
      </c>
      <c r="K653" s="4">
        <v>4722050</v>
      </c>
      <c r="L653" s="39">
        <v>110.52500000000001</v>
      </c>
      <c r="M653" s="4">
        <v>5526250</v>
      </c>
      <c r="N653" s="4">
        <v>5000000</v>
      </c>
      <c r="O653" s="4">
        <v>4805438</v>
      </c>
      <c r="P653" s="4">
        <v>0</v>
      </c>
      <c r="Q653" s="4">
        <v>40617</v>
      </c>
      <c r="R653" s="4">
        <v>0</v>
      </c>
      <c r="S653" s="4">
        <v>0</v>
      </c>
      <c r="T653" s="23">
        <v>3.55</v>
      </c>
      <c r="U653" s="23">
        <v>4.5679999999999996</v>
      </c>
      <c r="V653" s="5" t="s">
        <v>3843</v>
      </c>
      <c r="W653" s="4">
        <v>44375</v>
      </c>
      <c r="X653" s="4">
        <v>177500</v>
      </c>
      <c r="Y653" s="11">
        <v>43425</v>
      </c>
      <c r="Z653" s="11">
        <v>45748</v>
      </c>
      <c r="AA653" s="2"/>
      <c r="AB653" s="63" t="s">
        <v>3840</v>
      </c>
      <c r="AC653" s="5" t="s">
        <v>4198</v>
      </c>
      <c r="AD653" s="2"/>
      <c r="AE653" s="11">
        <v>45658</v>
      </c>
      <c r="AF653" s="23">
        <v>100</v>
      </c>
      <c r="AG653" s="9"/>
      <c r="AH653" s="5" t="s">
        <v>1033</v>
      </c>
      <c r="AI653" s="5" t="s">
        <v>1238</v>
      </c>
      <c r="AJ653" s="5" t="s">
        <v>3</v>
      </c>
      <c r="AK653" s="16" t="s">
        <v>3</v>
      </c>
      <c r="AL653" s="65" t="s">
        <v>3842</v>
      </c>
      <c r="AM653" s="31" t="s">
        <v>1176</v>
      </c>
    </row>
    <row r="654" spans="2:39" x14ac:dyDescent="0.25">
      <c r="B654" s="18" t="s">
        <v>699</v>
      </c>
      <c r="C654" s="44" t="s">
        <v>3196</v>
      </c>
      <c r="D654" s="20" t="s">
        <v>1238</v>
      </c>
      <c r="E654" s="67" t="s">
        <v>3</v>
      </c>
      <c r="F654" s="51" t="s">
        <v>3</v>
      </c>
      <c r="G654" s="37" t="s">
        <v>2715</v>
      </c>
      <c r="H654" s="68" t="s">
        <v>3842</v>
      </c>
      <c r="I654" s="62" t="s">
        <v>10</v>
      </c>
      <c r="J654" s="61" t="s">
        <v>250</v>
      </c>
      <c r="K654" s="4">
        <v>2995260</v>
      </c>
      <c r="L654" s="39">
        <v>106.58499999999999</v>
      </c>
      <c r="M654" s="4">
        <v>3197550</v>
      </c>
      <c r="N654" s="4">
        <v>3000000</v>
      </c>
      <c r="O654" s="4">
        <v>2997791</v>
      </c>
      <c r="P654" s="4">
        <v>0</v>
      </c>
      <c r="Q654" s="4">
        <v>939</v>
      </c>
      <c r="R654" s="4">
        <v>0</v>
      </c>
      <c r="S654" s="4">
        <v>0</v>
      </c>
      <c r="T654" s="23">
        <v>3.7</v>
      </c>
      <c r="U654" s="23">
        <v>3.7349999999999999</v>
      </c>
      <c r="V654" s="5" t="s">
        <v>12</v>
      </c>
      <c r="W654" s="4">
        <v>31450</v>
      </c>
      <c r="X654" s="4">
        <v>111000</v>
      </c>
      <c r="Y654" s="11">
        <v>43167</v>
      </c>
      <c r="Z654" s="11">
        <v>45004</v>
      </c>
      <c r="AA654" s="2"/>
      <c r="AB654" s="63" t="s">
        <v>3840</v>
      </c>
      <c r="AC654" s="5" t="s">
        <v>4198</v>
      </c>
      <c r="AD654" s="2"/>
      <c r="AE654" s="10">
        <v>44976</v>
      </c>
      <c r="AF654" s="23">
        <v>100</v>
      </c>
      <c r="AG654" s="6"/>
      <c r="AH654" s="5" t="s">
        <v>1033</v>
      </c>
      <c r="AI654" s="5" t="s">
        <v>1238</v>
      </c>
      <c r="AJ654" s="5" t="s">
        <v>3</v>
      </c>
      <c r="AK654" s="16" t="s">
        <v>3</v>
      </c>
      <c r="AL654" s="65" t="s">
        <v>3842</v>
      </c>
      <c r="AM654" s="31" t="s">
        <v>1176</v>
      </c>
    </row>
    <row r="655" spans="2:39" x14ac:dyDescent="0.25">
      <c r="B655" s="18" t="s">
        <v>1811</v>
      </c>
      <c r="C655" s="44" t="s">
        <v>700</v>
      </c>
      <c r="D655" s="20" t="s">
        <v>3412</v>
      </c>
      <c r="E655" s="67" t="s">
        <v>3</v>
      </c>
      <c r="F655" s="51" t="s">
        <v>3</v>
      </c>
      <c r="G655" s="37" t="s">
        <v>3</v>
      </c>
      <c r="H655" s="68" t="s">
        <v>3842</v>
      </c>
      <c r="I655" s="62" t="s">
        <v>1157</v>
      </c>
      <c r="J655" s="61" t="s">
        <v>3</v>
      </c>
      <c r="K655" s="4">
        <v>2000000</v>
      </c>
      <c r="L655" s="39">
        <v>107.614</v>
      </c>
      <c r="M655" s="4">
        <v>2152280</v>
      </c>
      <c r="N655" s="4">
        <v>2000000</v>
      </c>
      <c r="O655" s="4">
        <v>2000000</v>
      </c>
      <c r="P655" s="4">
        <v>0</v>
      </c>
      <c r="Q655" s="4">
        <v>0</v>
      </c>
      <c r="R655" s="4">
        <v>0</v>
      </c>
      <c r="S655" s="4">
        <v>0</v>
      </c>
      <c r="T655" s="23">
        <v>3.92</v>
      </c>
      <c r="U655" s="23">
        <v>3.92</v>
      </c>
      <c r="V655" s="5" t="s">
        <v>3844</v>
      </c>
      <c r="W655" s="4">
        <v>3702</v>
      </c>
      <c r="X655" s="4">
        <v>78400</v>
      </c>
      <c r="Y655" s="11">
        <v>42718</v>
      </c>
      <c r="Z655" s="11">
        <v>45274</v>
      </c>
      <c r="AA655" s="2"/>
      <c r="AB655" s="63" t="s">
        <v>1684</v>
      </c>
      <c r="AC655" s="5" t="s">
        <v>3</v>
      </c>
      <c r="AD655" s="2"/>
      <c r="AE655" s="6"/>
      <c r="AF655" s="23"/>
      <c r="AG655" s="6"/>
      <c r="AH655" s="5" t="s">
        <v>3</v>
      </c>
      <c r="AI655" s="5" t="s">
        <v>3412</v>
      </c>
      <c r="AJ655" s="5" t="s">
        <v>3</v>
      </c>
      <c r="AK655" s="16" t="s">
        <v>3</v>
      </c>
      <c r="AL655" s="65" t="s">
        <v>3842</v>
      </c>
      <c r="AM655" s="31" t="s">
        <v>2821</v>
      </c>
    </row>
    <row r="656" spans="2:39" x14ac:dyDescent="0.25">
      <c r="B656" s="18" t="s">
        <v>2896</v>
      </c>
      <c r="C656" s="44" t="s">
        <v>386</v>
      </c>
      <c r="D656" s="20" t="s">
        <v>1459</v>
      </c>
      <c r="E656" s="67" t="s">
        <v>3</v>
      </c>
      <c r="F656" s="51" t="s">
        <v>3</v>
      </c>
      <c r="G656" s="37" t="s">
        <v>3</v>
      </c>
      <c r="H656" s="68" t="s">
        <v>3842</v>
      </c>
      <c r="I656" s="62" t="s">
        <v>1157</v>
      </c>
      <c r="J656" s="61" t="s">
        <v>250</v>
      </c>
      <c r="K656" s="4">
        <v>2800000</v>
      </c>
      <c r="L656" s="39">
        <v>101.492</v>
      </c>
      <c r="M656" s="4">
        <v>2841776</v>
      </c>
      <c r="N656" s="4">
        <v>2800000</v>
      </c>
      <c r="O656" s="4">
        <v>2800000</v>
      </c>
      <c r="P656" s="4">
        <v>0</v>
      </c>
      <c r="Q656" s="4">
        <v>0</v>
      </c>
      <c r="R656" s="4">
        <v>0</v>
      </c>
      <c r="S656" s="4">
        <v>0</v>
      </c>
      <c r="T656" s="23">
        <v>3.23</v>
      </c>
      <c r="U656" s="23">
        <v>3.2280000000000002</v>
      </c>
      <c r="V656" s="5" t="s">
        <v>12</v>
      </c>
      <c r="W656" s="4">
        <v>22861</v>
      </c>
      <c r="X656" s="4">
        <v>90440</v>
      </c>
      <c r="Y656" s="11">
        <v>42068</v>
      </c>
      <c r="Z656" s="11">
        <v>44651</v>
      </c>
      <c r="AA656" s="2"/>
      <c r="AB656" s="63" t="s">
        <v>2748</v>
      </c>
      <c r="AC656" s="5" t="s">
        <v>3</v>
      </c>
      <c r="AD656" s="2"/>
      <c r="AE656" s="9"/>
      <c r="AF656" s="23"/>
      <c r="AG656" s="6"/>
      <c r="AH656" s="5" t="s">
        <v>1034</v>
      </c>
      <c r="AI656" s="5" t="s">
        <v>1459</v>
      </c>
      <c r="AJ656" s="5" t="s">
        <v>3</v>
      </c>
      <c r="AK656" s="16" t="s">
        <v>3</v>
      </c>
      <c r="AL656" s="65" t="s">
        <v>3842</v>
      </c>
      <c r="AM656" s="31" t="s">
        <v>926</v>
      </c>
    </row>
    <row r="657" spans="2:39" x14ac:dyDescent="0.25">
      <c r="B657" s="18" t="s">
        <v>4010</v>
      </c>
      <c r="C657" s="44" t="s">
        <v>4011</v>
      </c>
      <c r="D657" s="20" t="s">
        <v>3197</v>
      </c>
      <c r="E657" s="67" t="s">
        <v>3</v>
      </c>
      <c r="F657" s="51" t="s">
        <v>3310</v>
      </c>
      <c r="G657" s="37" t="s">
        <v>3</v>
      </c>
      <c r="H657" s="68" t="s">
        <v>3842</v>
      </c>
      <c r="I657" s="62" t="s">
        <v>10</v>
      </c>
      <c r="J657" s="61" t="s">
        <v>250</v>
      </c>
      <c r="K657" s="4">
        <v>2000000</v>
      </c>
      <c r="L657" s="39">
        <v>110</v>
      </c>
      <c r="M657" s="4">
        <v>2200000</v>
      </c>
      <c r="N657" s="4">
        <v>2000000</v>
      </c>
      <c r="O657" s="4">
        <v>2000000</v>
      </c>
      <c r="P657" s="4">
        <v>0</v>
      </c>
      <c r="Q657" s="4">
        <v>0</v>
      </c>
      <c r="R657" s="4">
        <v>0</v>
      </c>
      <c r="S657" s="4">
        <v>0</v>
      </c>
      <c r="T657" s="23">
        <v>4.42</v>
      </c>
      <c r="U657" s="23">
        <v>4.42</v>
      </c>
      <c r="V657" s="5" t="s">
        <v>3844</v>
      </c>
      <c r="W657" s="4">
        <v>491</v>
      </c>
      <c r="X657" s="4">
        <v>88400</v>
      </c>
      <c r="Y657" s="11">
        <v>42915</v>
      </c>
      <c r="Z657" s="11">
        <v>45837</v>
      </c>
      <c r="AA657" s="2"/>
      <c r="AB657" s="63" t="s">
        <v>2748</v>
      </c>
      <c r="AC657" s="5" t="s">
        <v>3</v>
      </c>
      <c r="AD657" s="2"/>
      <c r="AE657" s="6"/>
      <c r="AF657" s="23"/>
      <c r="AG657" s="6"/>
      <c r="AH657" s="5" t="s">
        <v>3</v>
      </c>
      <c r="AI657" s="5" t="s">
        <v>3197</v>
      </c>
      <c r="AJ657" s="5" t="s">
        <v>3</v>
      </c>
      <c r="AK657" s="16" t="s">
        <v>3</v>
      </c>
      <c r="AL657" s="65" t="s">
        <v>3842</v>
      </c>
      <c r="AM657" s="31" t="s">
        <v>1176</v>
      </c>
    </row>
    <row r="658" spans="2:39" x14ac:dyDescent="0.25">
      <c r="B658" s="18" t="s">
        <v>1035</v>
      </c>
      <c r="C658" s="44" t="s">
        <v>3657</v>
      </c>
      <c r="D658" s="20" t="s">
        <v>1239</v>
      </c>
      <c r="E658" s="67" t="s">
        <v>3</v>
      </c>
      <c r="F658" s="51" t="s">
        <v>3</v>
      </c>
      <c r="G658" s="37" t="s">
        <v>3</v>
      </c>
      <c r="H658" s="68" t="s">
        <v>3842</v>
      </c>
      <c r="I658" s="62" t="s">
        <v>1157</v>
      </c>
      <c r="J658" s="61" t="s">
        <v>952</v>
      </c>
      <c r="K658" s="4">
        <v>3000000</v>
      </c>
      <c r="L658" s="39">
        <v>107.16800000000001</v>
      </c>
      <c r="M658" s="4">
        <v>3215040</v>
      </c>
      <c r="N658" s="4">
        <v>3000000</v>
      </c>
      <c r="O658" s="4">
        <v>3000000</v>
      </c>
      <c r="P658" s="4">
        <v>0</v>
      </c>
      <c r="Q658" s="4">
        <v>0</v>
      </c>
      <c r="R658" s="4">
        <v>0</v>
      </c>
      <c r="S658" s="4">
        <v>0</v>
      </c>
      <c r="T658" s="23">
        <v>3.37</v>
      </c>
      <c r="U658" s="23">
        <v>3.37</v>
      </c>
      <c r="V658" s="5" t="s">
        <v>3844</v>
      </c>
      <c r="W658" s="4">
        <v>5898</v>
      </c>
      <c r="X658" s="4">
        <v>0</v>
      </c>
      <c r="Y658" s="11">
        <v>44175</v>
      </c>
      <c r="Z658" s="11">
        <v>46731</v>
      </c>
      <c r="AA658" s="2"/>
      <c r="AB658" s="63" t="s">
        <v>2748</v>
      </c>
      <c r="AC658" s="5" t="s">
        <v>3</v>
      </c>
      <c r="AD658" s="2"/>
      <c r="AE658" s="9"/>
      <c r="AF658" s="23"/>
      <c r="AG658" s="9"/>
      <c r="AH658" s="5" t="s">
        <v>3</v>
      </c>
      <c r="AI658" s="5" t="s">
        <v>4012</v>
      </c>
      <c r="AJ658" s="5" t="s">
        <v>1460</v>
      </c>
      <c r="AK658" s="16" t="s">
        <v>3</v>
      </c>
      <c r="AL658" s="65" t="s">
        <v>2715</v>
      </c>
      <c r="AM658" s="31" t="s">
        <v>1036</v>
      </c>
    </row>
    <row r="659" spans="2:39" x14ac:dyDescent="0.25">
      <c r="B659" s="18" t="s">
        <v>2104</v>
      </c>
      <c r="C659" s="44" t="s">
        <v>701</v>
      </c>
      <c r="D659" s="20" t="s">
        <v>120</v>
      </c>
      <c r="E659" s="67" t="s">
        <v>3</v>
      </c>
      <c r="F659" s="51" t="s">
        <v>3310</v>
      </c>
      <c r="G659" s="37" t="s">
        <v>2715</v>
      </c>
      <c r="H659" s="68" t="s">
        <v>3842</v>
      </c>
      <c r="I659" s="62" t="s">
        <v>10</v>
      </c>
      <c r="J659" s="61" t="s">
        <v>250</v>
      </c>
      <c r="K659" s="4">
        <v>5095550</v>
      </c>
      <c r="L659" s="39">
        <v>109.15900000000001</v>
      </c>
      <c r="M659" s="4">
        <v>5457950</v>
      </c>
      <c r="N659" s="4">
        <v>5000000</v>
      </c>
      <c r="O659" s="4">
        <v>5090496</v>
      </c>
      <c r="P659" s="4">
        <v>0</v>
      </c>
      <c r="Q659" s="4">
        <v>-5054</v>
      </c>
      <c r="R659" s="4">
        <v>0</v>
      </c>
      <c r="S659" s="4">
        <v>0</v>
      </c>
      <c r="T659" s="23">
        <v>2.95</v>
      </c>
      <c r="U659" s="23">
        <v>2.718</v>
      </c>
      <c r="V659" s="5" t="s">
        <v>1982</v>
      </c>
      <c r="W659" s="4">
        <v>63917</v>
      </c>
      <c r="X659" s="4">
        <v>72931</v>
      </c>
      <c r="Y659" s="11">
        <v>43985</v>
      </c>
      <c r="Z659" s="11">
        <v>47508</v>
      </c>
      <c r="AA659" s="2"/>
      <c r="AB659" s="63" t="s">
        <v>3840</v>
      </c>
      <c r="AC659" s="5" t="s">
        <v>4198</v>
      </c>
      <c r="AD659" s="2"/>
      <c r="AE659" s="11">
        <v>47416</v>
      </c>
      <c r="AF659" s="23">
        <v>100</v>
      </c>
      <c r="AG659" s="11">
        <v>47416</v>
      </c>
      <c r="AH659" s="5" t="s">
        <v>3</v>
      </c>
      <c r="AI659" s="5" t="s">
        <v>121</v>
      </c>
      <c r="AJ659" s="5" t="s">
        <v>928</v>
      </c>
      <c r="AK659" s="16" t="s">
        <v>3</v>
      </c>
      <c r="AL659" s="65" t="s">
        <v>3842</v>
      </c>
      <c r="AM659" s="31" t="s">
        <v>1176</v>
      </c>
    </row>
    <row r="660" spans="2:39" x14ac:dyDescent="0.25">
      <c r="B660" s="18" t="s">
        <v>3198</v>
      </c>
      <c r="C660" s="44" t="s">
        <v>1461</v>
      </c>
      <c r="D660" s="20" t="s">
        <v>4013</v>
      </c>
      <c r="E660" s="67" t="s">
        <v>3</v>
      </c>
      <c r="F660" s="51" t="s">
        <v>3</v>
      </c>
      <c r="G660" s="37" t="s">
        <v>3</v>
      </c>
      <c r="H660" s="68" t="s">
        <v>2715</v>
      </c>
      <c r="I660" s="62" t="s">
        <v>252</v>
      </c>
      <c r="J660" s="61" t="s">
        <v>250</v>
      </c>
      <c r="K660" s="4">
        <v>9844740</v>
      </c>
      <c r="L660" s="39">
        <v>110.396</v>
      </c>
      <c r="M660" s="4">
        <v>9935640</v>
      </c>
      <c r="N660" s="4">
        <v>9000000</v>
      </c>
      <c r="O660" s="4">
        <v>9768747</v>
      </c>
      <c r="P660" s="4">
        <v>0</v>
      </c>
      <c r="Q660" s="4">
        <v>-75993</v>
      </c>
      <c r="R660" s="4">
        <v>0</v>
      </c>
      <c r="S660" s="4">
        <v>0</v>
      </c>
      <c r="T660" s="23">
        <v>2.7</v>
      </c>
      <c r="U660" s="23">
        <v>1.119</v>
      </c>
      <c r="V660" s="5" t="s">
        <v>248</v>
      </c>
      <c r="W660" s="4">
        <v>99900</v>
      </c>
      <c r="X660" s="4">
        <v>121500</v>
      </c>
      <c r="Y660" s="11">
        <v>43985</v>
      </c>
      <c r="Z660" s="11">
        <v>46237</v>
      </c>
      <c r="AA660" s="2"/>
      <c r="AB660" s="63" t="s">
        <v>3840</v>
      </c>
      <c r="AC660" s="5" t="s">
        <v>4198</v>
      </c>
      <c r="AD660" s="2"/>
      <c r="AE660" s="9"/>
      <c r="AF660" s="23"/>
      <c r="AG660" s="9"/>
      <c r="AH660" s="5" t="s">
        <v>3658</v>
      </c>
      <c r="AI660" s="5" t="s">
        <v>4013</v>
      </c>
      <c r="AJ660" s="5" t="s">
        <v>3</v>
      </c>
      <c r="AK660" s="16" t="s">
        <v>3</v>
      </c>
      <c r="AL660" s="65" t="s">
        <v>3842</v>
      </c>
      <c r="AM660" s="31" t="s">
        <v>898</v>
      </c>
    </row>
    <row r="661" spans="2:39" x14ac:dyDescent="0.25">
      <c r="B661" s="18" t="s">
        <v>4325</v>
      </c>
      <c r="C661" s="44" t="s">
        <v>387</v>
      </c>
      <c r="D661" s="20" t="s">
        <v>4013</v>
      </c>
      <c r="E661" s="67" t="s">
        <v>3</v>
      </c>
      <c r="F661" s="51" t="s">
        <v>3310</v>
      </c>
      <c r="G661" s="37" t="s">
        <v>3</v>
      </c>
      <c r="H661" s="68" t="s">
        <v>2715</v>
      </c>
      <c r="I661" s="62" t="s">
        <v>252</v>
      </c>
      <c r="J661" s="61" t="s">
        <v>250</v>
      </c>
      <c r="K661" s="4">
        <v>14971350</v>
      </c>
      <c r="L661" s="39">
        <v>106.035</v>
      </c>
      <c r="M661" s="4">
        <v>15905250</v>
      </c>
      <c r="N661" s="4">
        <v>15000000</v>
      </c>
      <c r="O661" s="4">
        <v>14976727</v>
      </c>
      <c r="P661" s="4">
        <v>0</v>
      </c>
      <c r="Q661" s="4">
        <v>5377</v>
      </c>
      <c r="R661" s="4">
        <v>0</v>
      </c>
      <c r="S661" s="4">
        <v>0</v>
      </c>
      <c r="T661" s="23">
        <v>2.2000000000000002</v>
      </c>
      <c r="U661" s="23">
        <v>2.2400000000000002</v>
      </c>
      <c r="V661" s="5" t="s">
        <v>248</v>
      </c>
      <c r="W661" s="4">
        <v>135667</v>
      </c>
      <c r="X661" s="4">
        <v>186083</v>
      </c>
      <c r="Y661" s="11">
        <v>43837</v>
      </c>
      <c r="Z661" s="11">
        <v>45691</v>
      </c>
      <c r="AA661" s="2"/>
      <c r="AB661" s="63" t="s">
        <v>3840</v>
      </c>
      <c r="AC661" s="5" t="s">
        <v>4198</v>
      </c>
      <c r="AD661" s="2"/>
      <c r="AE661" s="9"/>
      <c r="AF661" s="23"/>
      <c r="AG661" s="9"/>
      <c r="AH661" s="5" t="s">
        <v>3658</v>
      </c>
      <c r="AI661" s="5" t="s">
        <v>4013</v>
      </c>
      <c r="AJ661" s="5" t="s">
        <v>3</v>
      </c>
      <c r="AK661" s="16" t="s">
        <v>3</v>
      </c>
      <c r="AL661" s="65" t="s">
        <v>3842</v>
      </c>
      <c r="AM661" s="31" t="s">
        <v>898</v>
      </c>
    </row>
    <row r="662" spans="2:39" x14ac:dyDescent="0.25">
      <c r="B662" s="18" t="s">
        <v>1037</v>
      </c>
      <c r="C662" s="44" t="s">
        <v>388</v>
      </c>
      <c r="D662" s="20" t="s">
        <v>1038</v>
      </c>
      <c r="E662" s="67" t="s">
        <v>3</v>
      </c>
      <c r="F662" s="51" t="s">
        <v>3310</v>
      </c>
      <c r="G662" s="37" t="s">
        <v>2715</v>
      </c>
      <c r="H662" s="68" t="s">
        <v>3842</v>
      </c>
      <c r="I662" s="62" t="s">
        <v>10</v>
      </c>
      <c r="J662" s="61" t="s">
        <v>250</v>
      </c>
      <c r="K662" s="4">
        <v>4754550</v>
      </c>
      <c r="L662" s="39">
        <v>109.739</v>
      </c>
      <c r="M662" s="4">
        <v>5486950</v>
      </c>
      <c r="N662" s="4">
        <v>5000000</v>
      </c>
      <c r="O662" s="4">
        <v>4803392</v>
      </c>
      <c r="P662" s="4">
        <v>0</v>
      </c>
      <c r="Q662" s="4">
        <v>29836</v>
      </c>
      <c r="R662" s="4">
        <v>0</v>
      </c>
      <c r="S662" s="4">
        <v>0</v>
      </c>
      <c r="T662" s="23">
        <v>3.25</v>
      </c>
      <c r="U662" s="23">
        <v>4.0229999999999997</v>
      </c>
      <c r="V662" s="5" t="s">
        <v>3843</v>
      </c>
      <c r="W662" s="4">
        <v>40625</v>
      </c>
      <c r="X662" s="4">
        <v>162500</v>
      </c>
      <c r="Y662" s="11">
        <v>43587</v>
      </c>
      <c r="Z662" s="11">
        <v>46296</v>
      </c>
      <c r="AA662" s="2"/>
      <c r="AB662" s="63" t="s">
        <v>3840</v>
      </c>
      <c r="AC662" s="5" t="s">
        <v>4198</v>
      </c>
      <c r="AD662" s="2"/>
      <c r="AE662" s="10">
        <v>46204</v>
      </c>
      <c r="AF662" s="23">
        <v>100</v>
      </c>
      <c r="AG662" s="6"/>
      <c r="AH662" s="5" t="s">
        <v>3199</v>
      </c>
      <c r="AI662" s="5" t="s">
        <v>1240</v>
      </c>
      <c r="AJ662" s="5" t="s">
        <v>928</v>
      </c>
      <c r="AK662" s="16" t="s">
        <v>3</v>
      </c>
      <c r="AL662" s="65" t="s">
        <v>3842</v>
      </c>
      <c r="AM662" s="31" t="s">
        <v>1176</v>
      </c>
    </row>
    <row r="663" spans="2:39" x14ac:dyDescent="0.25">
      <c r="B663" s="18" t="s">
        <v>2105</v>
      </c>
      <c r="C663" s="44" t="s">
        <v>3659</v>
      </c>
      <c r="D663" s="20" t="s">
        <v>1039</v>
      </c>
      <c r="E663" s="67" t="s">
        <v>3</v>
      </c>
      <c r="F663" s="51" t="s">
        <v>3310</v>
      </c>
      <c r="G663" s="37" t="s">
        <v>3</v>
      </c>
      <c r="H663" s="68" t="s">
        <v>2715</v>
      </c>
      <c r="I663" s="62" t="s">
        <v>252</v>
      </c>
      <c r="J663" s="61" t="s">
        <v>250</v>
      </c>
      <c r="K663" s="4">
        <v>10074900</v>
      </c>
      <c r="L663" s="39">
        <v>106.07899999999999</v>
      </c>
      <c r="M663" s="4">
        <v>10607900</v>
      </c>
      <c r="N663" s="4">
        <v>10000000</v>
      </c>
      <c r="O663" s="4">
        <v>10062324</v>
      </c>
      <c r="P663" s="4">
        <v>0</v>
      </c>
      <c r="Q663" s="4">
        <v>-12576</v>
      </c>
      <c r="R663" s="4">
        <v>0</v>
      </c>
      <c r="S663" s="4">
        <v>0</v>
      </c>
      <c r="T663" s="23">
        <v>2.25</v>
      </c>
      <c r="U663" s="23">
        <v>2.09</v>
      </c>
      <c r="V663" s="5" t="s">
        <v>1982</v>
      </c>
      <c r="W663" s="4">
        <v>95625</v>
      </c>
      <c r="X663" s="4">
        <v>112500</v>
      </c>
      <c r="Y663" s="11">
        <v>43873</v>
      </c>
      <c r="Z663" s="11">
        <v>45685</v>
      </c>
      <c r="AA663" s="2"/>
      <c r="AB663" s="63" t="s">
        <v>3840</v>
      </c>
      <c r="AC663" s="5" t="s">
        <v>4198</v>
      </c>
      <c r="AD663" s="2"/>
      <c r="AE663" s="6"/>
      <c r="AF663" s="23"/>
      <c r="AG663" s="6"/>
      <c r="AH663" s="5" t="s">
        <v>4326</v>
      </c>
      <c r="AI663" s="5" t="s">
        <v>2551</v>
      </c>
      <c r="AJ663" s="5" t="s">
        <v>2551</v>
      </c>
      <c r="AK663" s="16" t="s">
        <v>3</v>
      </c>
      <c r="AL663" s="65" t="s">
        <v>3842</v>
      </c>
      <c r="AM663" s="31" t="s">
        <v>898</v>
      </c>
    </row>
    <row r="664" spans="2:39" x14ac:dyDescent="0.25">
      <c r="B664" s="18" t="s">
        <v>4014</v>
      </c>
      <c r="C664" s="44" t="s">
        <v>1812</v>
      </c>
      <c r="D664" s="20" t="s">
        <v>122</v>
      </c>
      <c r="E664" s="67" t="s">
        <v>3</v>
      </c>
      <c r="F664" s="51" t="s">
        <v>3310</v>
      </c>
      <c r="G664" s="37" t="s">
        <v>2715</v>
      </c>
      <c r="H664" s="68" t="s">
        <v>3842</v>
      </c>
      <c r="I664" s="62" t="s">
        <v>3310</v>
      </c>
      <c r="J664" s="61" t="s">
        <v>250</v>
      </c>
      <c r="K664" s="4">
        <v>9981400</v>
      </c>
      <c r="L664" s="39">
        <v>107.155</v>
      </c>
      <c r="M664" s="4">
        <v>10715500</v>
      </c>
      <c r="N664" s="4">
        <v>10000000</v>
      </c>
      <c r="O664" s="4">
        <v>9985531</v>
      </c>
      <c r="P664" s="4">
        <v>0</v>
      </c>
      <c r="Q664" s="4">
        <v>3842</v>
      </c>
      <c r="R664" s="4">
        <v>0</v>
      </c>
      <c r="S664" s="4">
        <v>0</v>
      </c>
      <c r="T664" s="23">
        <v>2.5</v>
      </c>
      <c r="U664" s="23">
        <v>2.5379999999999998</v>
      </c>
      <c r="V664" s="5" t="s">
        <v>1982</v>
      </c>
      <c r="W664" s="4">
        <v>115278</v>
      </c>
      <c r="X664" s="4">
        <v>166667</v>
      </c>
      <c r="Y664" s="11">
        <v>43782</v>
      </c>
      <c r="Z664" s="11">
        <v>45672</v>
      </c>
      <c r="AA664" s="2"/>
      <c r="AB664" s="63" t="s">
        <v>3840</v>
      </c>
      <c r="AC664" s="5" t="s">
        <v>4198</v>
      </c>
      <c r="AD664" s="2"/>
      <c r="AE664" s="11">
        <v>45641</v>
      </c>
      <c r="AF664" s="23">
        <v>100</v>
      </c>
      <c r="AG664" s="6"/>
      <c r="AH664" s="5" t="s">
        <v>4015</v>
      </c>
      <c r="AI664" s="5" t="s">
        <v>122</v>
      </c>
      <c r="AJ664" s="5" t="s">
        <v>3</v>
      </c>
      <c r="AK664" s="16" t="s">
        <v>3</v>
      </c>
      <c r="AL664" s="65" t="s">
        <v>3842</v>
      </c>
      <c r="AM664" s="31" t="s">
        <v>1651</v>
      </c>
    </row>
    <row r="665" spans="2:39" x14ac:dyDescent="0.25">
      <c r="B665" s="18" t="s">
        <v>702</v>
      </c>
      <c r="C665" s="44" t="s">
        <v>1241</v>
      </c>
      <c r="D665" s="20" t="s">
        <v>703</v>
      </c>
      <c r="E665" s="67" t="s">
        <v>3</v>
      </c>
      <c r="F665" s="51" t="s">
        <v>3</v>
      </c>
      <c r="G665" s="37" t="s">
        <v>2715</v>
      </c>
      <c r="H665" s="68" t="s">
        <v>929</v>
      </c>
      <c r="I665" s="62" t="s">
        <v>10</v>
      </c>
      <c r="J665" s="61" t="s">
        <v>250</v>
      </c>
      <c r="K665" s="4">
        <v>3046620</v>
      </c>
      <c r="L665" s="39">
        <v>104.90300000000001</v>
      </c>
      <c r="M665" s="4">
        <v>3147090</v>
      </c>
      <c r="N665" s="4">
        <v>3000000</v>
      </c>
      <c r="O665" s="4">
        <v>3026524</v>
      </c>
      <c r="P665" s="4">
        <v>0</v>
      </c>
      <c r="Q665" s="4">
        <v>-6723</v>
      </c>
      <c r="R665" s="4">
        <v>0</v>
      </c>
      <c r="S665" s="4">
        <v>0</v>
      </c>
      <c r="T665" s="23">
        <v>4.25</v>
      </c>
      <c r="U665" s="23">
        <v>3.984</v>
      </c>
      <c r="V665" s="5" t="s">
        <v>3844</v>
      </c>
      <c r="W665" s="4">
        <v>10625</v>
      </c>
      <c r="X665" s="4">
        <v>127500</v>
      </c>
      <c r="Y665" s="11">
        <v>43052</v>
      </c>
      <c r="Z665" s="11">
        <v>45627</v>
      </c>
      <c r="AA665" s="2"/>
      <c r="AB665" s="63" t="s">
        <v>3840</v>
      </c>
      <c r="AC665" s="5" t="s">
        <v>4198</v>
      </c>
      <c r="AD665" s="2"/>
      <c r="AE665" s="11">
        <v>45536</v>
      </c>
      <c r="AF665" s="23">
        <v>100</v>
      </c>
      <c r="AG665" s="10">
        <v>45536</v>
      </c>
      <c r="AH665" s="5" t="s">
        <v>1242</v>
      </c>
      <c r="AI665" s="5" t="s">
        <v>1040</v>
      </c>
      <c r="AJ665" s="5" t="s">
        <v>389</v>
      </c>
      <c r="AK665" s="16" t="s">
        <v>3</v>
      </c>
      <c r="AL665" s="65" t="s">
        <v>3842</v>
      </c>
      <c r="AM665" s="31" t="s">
        <v>586</v>
      </c>
    </row>
    <row r="666" spans="2:39" x14ac:dyDescent="0.25">
      <c r="B666" s="18" t="s">
        <v>2106</v>
      </c>
      <c r="C666" s="44" t="s">
        <v>1243</v>
      </c>
      <c r="D666" s="20" t="s">
        <v>703</v>
      </c>
      <c r="E666" s="67" t="s">
        <v>3</v>
      </c>
      <c r="F666" s="51" t="s">
        <v>3</v>
      </c>
      <c r="G666" s="37" t="s">
        <v>2715</v>
      </c>
      <c r="H666" s="68" t="s">
        <v>929</v>
      </c>
      <c r="I666" s="62" t="s">
        <v>10</v>
      </c>
      <c r="J666" s="61" t="s">
        <v>250</v>
      </c>
      <c r="K666" s="4">
        <v>1000000</v>
      </c>
      <c r="L666" s="39">
        <v>108.578</v>
      </c>
      <c r="M666" s="4">
        <v>1085780</v>
      </c>
      <c r="N666" s="4">
        <v>1000000</v>
      </c>
      <c r="O666" s="4">
        <v>1000000</v>
      </c>
      <c r="P666" s="4">
        <v>0</v>
      </c>
      <c r="Q666" s="4">
        <v>0</v>
      </c>
      <c r="R666" s="4">
        <v>0</v>
      </c>
      <c r="S666" s="4">
        <v>0</v>
      </c>
      <c r="T666" s="23">
        <v>5.125</v>
      </c>
      <c r="U666" s="23">
        <v>5.125</v>
      </c>
      <c r="V666" s="5" t="s">
        <v>3843</v>
      </c>
      <c r="W666" s="4">
        <v>14094</v>
      </c>
      <c r="X666" s="4">
        <v>0</v>
      </c>
      <c r="Y666" s="11">
        <v>44091</v>
      </c>
      <c r="Z666" s="11">
        <v>46675</v>
      </c>
      <c r="AA666" s="2"/>
      <c r="AB666" s="63" t="s">
        <v>3840</v>
      </c>
      <c r="AC666" s="5" t="s">
        <v>4198</v>
      </c>
      <c r="AD666" s="2"/>
      <c r="AE666" s="11">
        <v>46492</v>
      </c>
      <c r="AF666" s="23">
        <v>100</v>
      </c>
      <c r="AG666" s="6"/>
      <c r="AH666" s="5" t="s">
        <v>1242</v>
      </c>
      <c r="AI666" s="5" t="s">
        <v>1040</v>
      </c>
      <c r="AJ666" s="5" t="s">
        <v>389</v>
      </c>
      <c r="AK666" s="16" t="s">
        <v>3</v>
      </c>
      <c r="AL666" s="65" t="s">
        <v>3842</v>
      </c>
      <c r="AM666" s="31" t="s">
        <v>586</v>
      </c>
    </row>
    <row r="667" spans="2:39" x14ac:dyDescent="0.25">
      <c r="B667" s="18" t="s">
        <v>3200</v>
      </c>
      <c r="C667" s="44" t="s">
        <v>123</v>
      </c>
      <c r="D667" s="20" t="s">
        <v>390</v>
      </c>
      <c r="E667" s="67" t="s">
        <v>3</v>
      </c>
      <c r="F667" s="51" t="s">
        <v>3</v>
      </c>
      <c r="G667" s="37" t="s">
        <v>3842</v>
      </c>
      <c r="H667" s="68" t="s">
        <v>929</v>
      </c>
      <c r="I667" s="62" t="s">
        <v>1157</v>
      </c>
      <c r="J667" s="61" t="s">
        <v>250</v>
      </c>
      <c r="K667" s="4">
        <v>3015000</v>
      </c>
      <c r="L667" s="39">
        <v>104.125</v>
      </c>
      <c r="M667" s="4">
        <v>3123750</v>
      </c>
      <c r="N667" s="4">
        <v>3000000</v>
      </c>
      <c r="O667" s="4">
        <v>3007575</v>
      </c>
      <c r="P667" s="4">
        <v>0</v>
      </c>
      <c r="Q667" s="4">
        <v>-2215</v>
      </c>
      <c r="R667" s="4">
        <v>0</v>
      </c>
      <c r="S667" s="4">
        <v>0</v>
      </c>
      <c r="T667" s="23">
        <v>4.875</v>
      </c>
      <c r="U667" s="23">
        <v>4.7859999999999996</v>
      </c>
      <c r="V667" s="5" t="s">
        <v>3844</v>
      </c>
      <c r="W667" s="4">
        <v>12188</v>
      </c>
      <c r="X667" s="4">
        <v>146250</v>
      </c>
      <c r="Y667" s="11">
        <v>42886</v>
      </c>
      <c r="Z667" s="11">
        <v>45444</v>
      </c>
      <c r="AA667" s="2"/>
      <c r="AB667" s="63" t="s">
        <v>3840</v>
      </c>
      <c r="AC667" s="5" t="s">
        <v>9</v>
      </c>
      <c r="AD667" s="2"/>
      <c r="AE667" s="10">
        <v>45354</v>
      </c>
      <c r="AF667" s="23">
        <v>100</v>
      </c>
      <c r="AG667" s="10">
        <v>45354</v>
      </c>
      <c r="AH667" s="5" t="s">
        <v>3</v>
      </c>
      <c r="AI667" s="5" t="s">
        <v>390</v>
      </c>
      <c r="AJ667" s="5" t="s">
        <v>3</v>
      </c>
      <c r="AK667" s="16" t="s">
        <v>3</v>
      </c>
      <c r="AL667" s="65" t="s">
        <v>3842</v>
      </c>
      <c r="AM667" s="31" t="s">
        <v>276</v>
      </c>
    </row>
    <row r="668" spans="2:39" x14ac:dyDescent="0.25">
      <c r="B668" s="18" t="s">
        <v>4327</v>
      </c>
      <c r="C668" s="44" t="s">
        <v>391</v>
      </c>
      <c r="D668" s="20" t="s">
        <v>2552</v>
      </c>
      <c r="E668" s="67" t="s">
        <v>3</v>
      </c>
      <c r="F668" s="51" t="s">
        <v>3310</v>
      </c>
      <c r="G668" s="37" t="s">
        <v>2715</v>
      </c>
      <c r="H668" s="68" t="s">
        <v>3842</v>
      </c>
      <c r="I668" s="62" t="s">
        <v>10</v>
      </c>
      <c r="J668" s="61" t="s">
        <v>250</v>
      </c>
      <c r="K668" s="4">
        <v>9248350</v>
      </c>
      <c r="L668" s="39">
        <v>108.404</v>
      </c>
      <c r="M668" s="4">
        <v>10840400</v>
      </c>
      <c r="N668" s="4">
        <v>10000000</v>
      </c>
      <c r="O668" s="4">
        <v>9479576</v>
      </c>
      <c r="P668" s="4">
        <v>0</v>
      </c>
      <c r="Q668" s="4">
        <v>109252</v>
      </c>
      <c r="R668" s="4">
        <v>0</v>
      </c>
      <c r="S668" s="4">
        <v>0</v>
      </c>
      <c r="T668" s="23">
        <v>3</v>
      </c>
      <c r="U668" s="23">
        <v>4.3550000000000004</v>
      </c>
      <c r="V668" s="5" t="s">
        <v>3843</v>
      </c>
      <c r="W668" s="4">
        <v>75000</v>
      </c>
      <c r="X668" s="4">
        <v>300000</v>
      </c>
      <c r="Y668" s="11">
        <v>43417</v>
      </c>
      <c r="Z668" s="11">
        <v>45748</v>
      </c>
      <c r="AA668" s="2"/>
      <c r="AB668" s="63" t="s">
        <v>3840</v>
      </c>
      <c r="AC668" s="5" t="s">
        <v>4198</v>
      </c>
      <c r="AD668" s="2"/>
      <c r="AE668" s="11">
        <v>45658</v>
      </c>
      <c r="AF668" s="23">
        <v>100</v>
      </c>
      <c r="AG668" s="9"/>
      <c r="AH668" s="5" t="s">
        <v>3</v>
      </c>
      <c r="AI668" s="5" t="s">
        <v>2552</v>
      </c>
      <c r="AJ668" s="5" t="s">
        <v>3</v>
      </c>
      <c r="AK668" s="16" t="s">
        <v>3</v>
      </c>
      <c r="AL668" s="65" t="s">
        <v>3842</v>
      </c>
      <c r="AM668" s="31" t="s">
        <v>1176</v>
      </c>
    </row>
    <row r="669" spans="2:39" x14ac:dyDescent="0.25">
      <c r="B669" s="18" t="s">
        <v>1041</v>
      </c>
      <c r="C669" s="44" t="s">
        <v>1813</v>
      </c>
      <c r="D669" s="20" t="s">
        <v>1042</v>
      </c>
      <c r="E669" s="67" t="s">
        <v>3</v>
      </c>
      <c r="F669" s="51" t="s">
        <v>3310</v>
      </c>
      <c r="G669" s="37" t="s">
        <v>3</v>
      </c>
      <c r="H669" s="68" t="s">
        <v>929</v>
      </c>
      <c r="I669" s="62" t="s">
        <v>3310</v>
      </c>
      <c r="J669" s="61" t="s">
        <v>250</v>
      </c>
      <c r="K669" s="4">
        <v>1568173</v>
      </c>
      <c r="L669" s="39">
        <v>105.136</v>
      </c>
      <c r="M669" s="4">
        <v>1603324</v>
      </c>
      <c r="N669" s="4">
        <v>1525000</v>
      </c>
      <c r="O669" s="4">
        <v>1545921</v>
      </c>
      <c r="P669" s="4">
        <v>0</v>
      </c>
      <c r="Q669" s="4">
        <v>-12919</v>
      </c>
      <c r="R669" s="4">
        <v>0</v>
      </c>
      <c r="S669" s="4">
        <v>0</v>
      </c>
      <c r="T669" s="23">
        <v>5</v>
      </c>
      <c r="U669" s="23">
        <v>4.0709999999999997</v>
      </c>
      <c r="V669" s="5" t="s">
        <v>1982</v>
      </c>
      <c r="W669" s="4">
        <v>35160</v>
      </c>
      <c r="X669" s="4">
        <v>76250</v>
      </c>
      <c r="Y669" s="11">
        <v>43553</v>
      </c>
      <c r="Z669" s="11">
        <v>44757</v>
      </c>
      <c r="AA669" s="2"/>
      <c r="AB669" s="63" t="s">
        <v>3840</v>
      </c>
      <c r="AC669" s="5" t="s">
        <v>4198</v>
      </c>
      <c r="AD669" s="2"/>
      <c r="AE669" s="6"/>
      <c r="AF669" s="23"/>
      <c r="AG669" s="6"/>
      <c r="AH669" s="5" t="s">
        <v>2107</v>
      </c>
      <c r="AI669" s="5" t="s">
        <v>1462</v>
      </c>
      <c r="AJ669" s="5" t="s">
        <v>1462</v>
      </c>
      <c r="AK669" s="16" t="s">
        <v>3</v>
      </c>
      <c r="AL669" s="65" t="s">
        <v>2715</v>
      </c>
      <c r="AM669" s="31" t="s">
        <v>933</v>
      </c>
    </row>
    <row r="670" spans="2:39" x14ac:dyDescent="0.25">
      <c r="B670" s="18" t="s">
        <v>2108</v>
      </c>
      <c r="C670" s="44" t="s">
        <v>2553</v>
      </c>
      <c r="D670" s="20" t="s">
        <v>1814</v>
      </c>
      <c r="E670" s="67" t="s">
        <v>3</v>
      </c>
      <c r="F670" s="51" t="s">
        <v>3</v>
      </c>
      <c r="G670" s="37" t="s">
        <v>3</v>
      </c>
      <c r="H670" s="68" t="s">
        <v>3842</v>
      </c>
      <c r="I670" s="62" t="s">
        <v>1157</v>
      </c>
      <c r="J670" s="61" t="s">
        <v>3</v>
      </c>
      <c r="K670" s="4">
        <v>3002850</v>
      </c>
      <c r="L670" s="39">
        <v>110</v>
      </c>
      <c r="M670" s="4">
        <v>3300000</v>
      </c>
      <c r="N670" s="4">
        <v>3000000</v>
      </c>
      <c r="O670" s="4">
        <v>3001663</v>
      </c>
      <c r="P670" s="4">
        <v>0</v>
      </c>
      <c r="Q670" s="4">
        <v>-403</v>
      </c>
      <c r="R670" s="4">
        <v>0</v>
      </c>
      <c r="S670" s="4">
        <v>0</v>
      </c>
      <c r="T670" s="23">
        <v>4.91</v>
      </c>
      <c r="U670" s="23">
        <v>4.8929999999999998</v>
      </c>
      <c r="V670" s="5" t="s">
        <v>3844</v>
      </c>
      <c r="W670" s="4">
        <v>409</v>
      </c>
      <c r="X670" s="4">
        <v>147300</v>
      </c>
      <c r="Y670" s="11">
        <v>42837</v>
      </c>
      <c r="Z670" s="11">
        <v>45374</v>
      </c>
      <c r="AA670" s="2"/>
      <c r="AB670" s="63" t="s">
        <v>1684</v>
      </c>
      <c r="AC670" s="5" t="s">
        <v>3</v>
      </c>
      <c r="AD670" s="2"/>
      <c r="AE670" s="9"/>
      <c r="AF670" s="23"/>
      <c r="AG670" s="9"/>
      <c r="AH670" s="5" t="s">
        <v>704</v>
      </c>
      <c r="AI670" s="5" t="s">
        <v>2897</v>
      </c>
      <c r="AJ670" s="5" t="s">
        <v>2313</v>
      </c>
      <c r="AK670" s="16" t="s">
        <v>3</v>
      </c>
      <c r="AL670" s="65" t="s">
        <v>3842</v>
      </c>
      <c r="AM670" s="31" t="s">
        <v>2821</v>
      </c>
    </row>
    <row r="671" spans="2:39" x14ac:dyDescent="0.25">
      <c r="B671" s="18" t="s">
        <v>3201</v>
      </c>
      <c r="C671" s="44" t="s">
        <v>3660</v>
      </c>
      <c r="D671" s="20" t="s">
        <v>392</v>
      </c>
      <c r="E671" s="67" t="s">
        <v>3</v>
      </c>
      <c r="F671" s="51" t="s">
        <v>3</v>
      </c>
      <c r="G671" s="37" t="s">
        <v>3</v>
      </c>
      <c r="H671" s="68" t="s">
        <v>3842</v>
      </c>
      <c r="I671" s="62" t="s">
        <v>1157</v>
      </c>
      <c r="J671" s="61" t="s">
        <v>2244</v>
      </c>
      <c r="K671" s="4">
        <v>3000000</v>
      </c>
      <c r="L671" s="39">
        <v>105.86</v>
      </c>
      <c r="M671" s="4">
        <v>3175800</v>
      </c>
      <c r="N671" s="4">
        <v>3000000</v>
      </c>
      <c r="O671" s="4">
        <v>3000000</v>
      </c>
      <c r="P671" s="4">
        <v>0</v>
      </c>
      <c r="Q671" s="4">
        <v>0</v>
      </c>
      <c r="R671" s="4">
        <v>0</v>
      </c>
      <c r="S671" s="4">
        <v>0</v>
      </c>
      <c r="T671" s="23">
        <v>4.96</v>
      </c>
      <c r="U671" s="23">
        <v>4.96</v>
      </c>
      <c r="V671" s="5" t="s">
        <v>3843</v>
      </c>
      <c r="W671" s="4">
        <v>25213</v>
      </c>
      <c r="X671" s="4">
        <v>148800</v>
      </c>
      <c r="Y671" s="11">
        <v>43404</v>
      </c>
      <c r="Z671" s="11">
        <v>46326</v>
      </c>
      <c r="AA671" s="2"/>
      <c r="AB671" s="63" t="s">
        <v>643</v>
      </c>
      <c r="AC671" s="5" t="s">
        <v>1417</v>
      </c>
      <c r="AD671" s="2"/>
      <c r="AE671" s="6"/>
      <c r="AF671" s="23"/>
      <c r="AG671" s="6"/>
      <c r="AH671" s="5" t="s">
        <v>3</v>
      </c>
      <c r="AI671" s="5" t="s">
        <v>392</v>
      </c>
      <c r="AJ671" s="5" t="s">
        <v>3</v>
      </c>
      <c r="AK671" s="16" t="s">
        <v>3</v>
      </c>
      <c r="AL671" s="65" t="s">
        <v>3842</v>
      </c>
      <c r="AM671" s="31" t="s">
        <v>2833</v>
      </c>
    </row>
    <row r="672" spans="2:39" x14ac:dyDescent="0.25">
      <c r="B672" s="18" t="s">
        <v>4328</v>
      </c>
      <c r="C672" s="44" t="s">
        <v>393</v>
      </c>
      <c r="D672" s="20" t="s">
        <v>392</v>
      </c>
      <c r="E672" s="67" t="s">
        <v>3</v>
      </c>
      <c r="F672" s="51" t="s">
        <v>3</v>
      </c>
      <c r="G672" s="37" t="s">
        <v>3</v>
      </c>
      <c r="H672" s="68" t="s">
        <v>3842</v>
      </c>
      <c r="I672" s="62" t="s">
        <v>1157</v>
      </c>
      <c r="J672" s="61" t="s">
        <v>2244</v>
      </c>
      <c r="K672" s="4">
        <v>5000000</v>
      </c>
      <c r="L672" s="39">
        <v>97.796000000000006</v>
      </c>
      <c r="M672" s="4">
        <v>4889800</v>
      </c>
      <c r="N672" s="4">
        <v>5000000</v>
      </c>
      <c r="O672" s="4">
        <v>5000000</v>
      </c>
      <c r="P672" s="4">
        <v>0</v>
      </c>
      <c r="Q672" s="4">
        <v>0</v>
      </c>
      <c r="R672" s="4">
        <v>0</v>
      </c>
      <c r="S672" s="4">
        <v>0</v>
      </c>
      <c r="T672" s="23">
        <v>3.84</v>
      </c>
      <c r="U672" s="23">
        <v>3.84</v>
      </c>
      <c r="V672" s="5" t="s">
        <v>12</v>
      </c>
      <c r="W672" s="4">
        <v>53867</v>
      </c>
      <c r="X672" s="4">
        <v>96000</v>
      </c>
      <c r="Y672" s="11">
        <v>43910</v>
      </c>
      <c r="Z672" s="11">
        <v>47197</v>
      </c>
      <c r="AA672" s="2"/>
      <c r="AB672" s="63" t="s">
        <v>643</v>
      </c>
      <c r="AC672" s="5" t="s">
        <v>1417</v>
      </c>
      <c r="AD672" s="2"/>
      <c r="AE672" s="6"/>
      <c r="AF672" s="23"/>
      <c r="AG672" s="6"/>
      <c r="AH672" s="5" t="s">
        <v>3</v>
      </c>
      <c r="AI672" s="5" t="s">
        <v>392</v>
      </c>
      <c r="AJ672" s="5" t="s">
        <v>3</v>
      </c>
      <c r="AK672" s="16" t="s">
        <v>3</v>
      </c>
      <c r="AL672" s="65" t="s">
        <v>3842</v>
      </c>
      <c r="AM672" s="31" t="s">
        <v>2833</v>
      </c>
    </row>
    <row r="673" spans="2:39" x14ac:dyDescent="0.25">
      <c r="B673" s="18" t="s">
        <v>1043</v>
      </c>
      <c r="C673" s="44" t="s">
        <v>2314</v>
      </c>
      <c r="D673" s="20" t="s">
        <v>2109</v>
      </c>
      <c r="E673" s="67" t="s">
        <v>3</v>
      </c>
      <c r="F673" s="51" t="s">
        <v>3</v>
      </c>
      <c r="G673" s="37" t="s">
        <v>3</v>
      </c>
      <c r="H673" s="68" t="s">
        <v>2715</v>
      </c>
      <c r="I673" s="62" t="s">
        <v>1358</v>
      </c>
      <c r="J673" s="61" t="s">
        <v>250</v>
      </c>
      <c r="K673" s="4">
        <v>8000000</v>
      </c>
      <c r="L673" s="39">
        <v>105.54</v>
      </c>
      <c r="M673" s="4">
        <v>8443200</v>
      </c>
      <c r="N673" s="4">
        <v>8000000</v>
      </c>
      <c r="O673" s="4">
        <v>8000000</v>
      </c>
      <c r="P673" s="4">
        <v>0</v>
      </c>
      <c r="Q673" s="4">
        <v>0</v>
      </c>
      <c r="R673" s="4">
        <v>0</v>
      </c>
      <c r="S673" s="4">
        <v>0</v>
      </c>
      <c r="T673" s="23">
        <v>2.52</v>
      </c>
      <c r="U673" s="23">
        <v>2.5209999999999999</v>
      </c>
      <c r="V673" s="5" t="s">
        <v>3843</v>
      </c>
      <c r="W673" s="4">
        <v>38080</v>
      </c>
      <c r="X673" s="4">
        <v>154560</v>
      </c>
      <c r="Y673" s="11">
        <v>43847</v>
      </c>
      <c r="Z673" s="11">
        <v>45674</v>
      </c>
      <c r="AA673" s="2"/>
      <c r="AB673" s="63" t="s">
        <v>2748</v>
      </c>
      <c r="AC673" s="5" t="s">
        <v>3</v>
      </c>
      <c r="AD673" s="2"/>
      <c r="AE673" s="9"/>
      <c r="AF673" s="23"/>
      <c r="AG673" s="9"/>
      <c r="AH673" s="5" t="s">
        <v>3</v>
      </c>
      <c r="AI673" s="5" t="s">
        <v>2109</v>
      </c>
      <c r="AJ673" s="5" t="s">
        <v>3</v>
      </c>
      <c r="AK673" s="16" t="s">
        <v>3</v>
      </c>
      <c r="AL673" s="65" t="s">
        <v>3842</v>
      </c>
      <c r="AM673" s="31" t="s">
        <v>559</v>
      </c>
    </row>
    <row r="674" spans="2:39" x14ac:dyDescent="0.25">
      <c r="B674" s="18" t="s">
        <v>2554</v>
      </c>
      <c r="C674" s="44" t="s">
        <v>124</v>
      </c>
      <c r="D674" s="20" t="s">
        <v>705</v>
      </c>
      <c r="E674" s="67" t="s">
        <v>3</v>
      </c>
      <c r="F674" s="51" t="s">
        <v>2218</v>
      </c>
      <c r="G674" s="37" t="s">
        <v>3842</v>
      </c>
      <c r="H674" s="68" t="s">
        <v>2715</v>
      </c>
      <c r="I674" s="62" t="s">
        <v>252</v>
      </c>
      <c r="J674" s="61" t="s">
        <v>250</v>
      </c>
      <c r="K674" s="4">
        <v>4759200</v>
      </c>
      <c r="L674" s="39">
        <v>107.663</v>
      </c>
      <c r="M674" s="4">
        <v>5383150</v>
      </c>
      <c r="N674" s="4">
        <v>5000000</v>
      </c>
      <c r="O674" s="4">
        <v>4834614</v>
      </c>
      <c r="P674" s="4">
        <v>0</v>
      </c>
      <c r="Q674" s="4">
        <v>35487</v>
      </c>
      <c r="R674" s="4">
        <v>0</v>
      </c>
      <c r="S674" s="4">
        <v>0</v>
      </c>
      <c r="T674" s="23">
        <v>3.2</v>
      </c>
      <c r="U674" s="23">
        <v>4.0659999999999998</v>
      </c>
      <c r="V674" s="5" t="s">
        <v>12</v>
      </c>
      <c r="W674" s="4">
        <v>48889</v>
      </c>
      <c r="X674" s="4">
        <v>160000</v>
      </c>
      <c r="Y674" s="11">
        <v>43402</v>
      </c>
      <c r="Z674" s="11">
        <v>45727</v>
      </c>
      <c r="AA674" s="2"/>
      <c r="AB674" s="63" t="s">
        <v>3840</v>
      </c>
      <c r="AC674" s="5" t="s">
        <v>4198</v>
      </c>
      <c r="AD674" s="2"/>
      <c r="AE674" s="10">
        <v>45637</v>
      </c>
      <c r="AF674" s="23">
        <v>100</v>
      </c>
      <c r="AG674" s="6"/>
      <c r="AH674" s="5" t="s">
        <v>706</v>
      </c>
      <c r="AI674" s="5" t="s">
        <v>1815</v>
      </c>
      <c r="AJ674" s="5" t="s">
        <v>928</v>
      </c>
      <c r="AK674" s="16" t="s">
        <v>3</v>
      </c>
      <c r="AL674" s="65" t="s">
        <v>3842</v>
      </c>
      <c r="AM674" s="31" t="s">
        <v>898</v>
      </c>
    </row>
    <row r="675" spans="2:39" x14ac:dyDescent="0.25">
      <c r="B675" s="18" t="s">
        <v>3661</v>
      </c>
      <c r="C675" s="44" t="s">
        <v>4329</v>
      </c>
      <c r="D675" s="20" t="s">
        <v>125</v>
      </c>
      <c r="E675" s="67" t="s">
        <v>3</v>
      </c>
      <c r="F675" s="51" t="s">
        <v>2218</v>
      </c>
      <c r="G675" s="37" t="s">
        <v>2715</v>
      </c>
      <c r="H675" s="68" t="s">
        <v>3842</v>
      </c>
      <c r="I675" s="62" t="s">
        <v>1157</v>
      </c>
      <c r="J675" s="61" t="s">
        <v>250</v>
      </c>
      <c r="K675" s="4">
        <v>9178250</v>
      </c>
      <c r="L675" s="39">
        <v>103.384</v>
      </c>
      <c r="M675" s="4">
        <v>9304560</v>
      </c>
      <c r="N675" s="4">
        <v>9000000</v>
      </c>
      <c r="O675" s="4">
        <v>9126351</v>
      </c>
      <c r="P675" s="4">
        <v>0</v>
      </c>
      <c r="Q675" s="4">
        <v>-51291</v>
      </c>
      <c r="R675" s="4">
        <v>0</v>
      </c>
      <c r="S675" s="4">
        <v>0</v>
      </c>
      <c r="T675" s="23">
        <v>4.75</v>
      </c>
      <c r="U675" s="23">
        <v>4.024</v>
      </c>
      <c r="V675" s="5" t="s">
        <v>3844</v>
      </c>
      <c r="W675" s="4">
        <v>19000</v>
      </c>
      <c r="X675" s="4">
        <v>427500</v>
      </c>
      <c r="Y675" s="11">
        <v>43873</v>
      </c>
      <c r="Z675" s="11">
        <v>45458</v>
      </c>
      <c r="AA675" s="2"/>
      <c r="AB675" s="63" t="s">
        <v>3840</v>
      </c>
      <c r="AC675" s="5" t="s">
        <v>4198</v>
      </c>
      <c r="AD675" s="2"/>
      <c r="AE675" s="11">
        <v>44362</v>
      </c>
      <c r="AF675" s="23">
        <v>102.375</v>
      </c>
      <c r="AG675" s="10">
        <v>44362</v>
      </c>
      <c r="AH675" s="5" t="s">
        <v>3662</v>
      </c>
      <c r="AI675" s="5" t="s">
        <v>707</v>
      </c>
      <c r="AJ675" s="5" t="s">
        <v>928</v>
      </c>
      <c r="AK675" s="16" t="s">
        <v>3</v>
      </c>
      <c r="AL675" s="65" t="s">
        <v>3842</v>
      </c>
      <c r="AM675" s="31" t="s">
        <v>926</v>
      </c>
    </row>
    <row r="676" spans="2:39" x14ac:dyDescent="0.25">
      <c r="B676" s="18" t="s">
        <v>394</v>
      </c>
      <c r="C676" s="44" t="s">
        <v>4330</v>
      </c>
      <c r="D676" s="20" t="s">
        <v>125</v>
      </c>
      <c r="E676" s="67" t="s">
        <v>3</v>
      </c>
      <c r="F676" s="51" t="s">
        <v>2218</v>
      </c>
      <c r="G676" s="37" t="s">
        <v>2715</v>
      </c>
      <c r="H676" s="68" t="s">
        <v>3842</v>
      </c>
      <c r="I676" s="62" t="s">
        <v>1157</v>
      </c>
      <c r="J676" s="61" t="s">
        <v>250</v>
      </c>
      <c r="K676" s="4">
        <v>4984800</v>
      </c>
      <c r="L676" s="39">
        <v>104.52800000000001</v>
      </c>
      <c r="M676" s="4">
        <v>5226400</v>
      </c>
      <c r="N676" s="4">
        <v>5000000</v>
      </c>
      <c r="O676" s="4">
        <v>4987546</v>
      </c>
      <c r="P676" s="4">
        <v>0</v>
      </c>
      <c r="Q676" s="4">
        <v>2746</v>
      </c>
      <c r="R676" s="4">
        <v>0</v>
      </c>
      <c r="S676" s="4">
        <v>0</v>
      </c>
      <c r="T676" s="23">
        <v>3</v>
      </c>
      <c r="U676" s="23">
        <v>3.0659999999999998</v>
      </c>
      <c r="V676" s="5" t="s">
        <v>1982</v>
      </c>
      <c r="W676" s="4">
        <v>69167</v>
      </c>
      <c r="X676" s="4">
        <v>75000</v>
      </c>
      <c r="Y676" s="11">
        <v>43838</v>
      </c>
      <c r="Z676" s="11">
        <v>45672</v>
      </c>
      <c r="AA676" s="2"/>
      <c r="AB676" s="63" t="s">
        <v>3840</v>
      </c>
      <c r="AC676" s="5" t="s">
        <v>4198</v>
      </c>
      <c r="AD676" s="2"/>
      <c r="AE676" s="10">
        <v>45641</v>
      </c>
      <c r="AF676" s="23">
        <v>100</v>
      </c>
      <c r="AG676" s="6"/>
      <c r="AH676" s="5" t="s">
        <v>3662</v>
      </c>
      <c r="AI676" s="5" t="s">
        <v>707</v>
      </c>
      <c r="AJ676" s="5" t="s">
        <v>928</v>
      </c>
      <c r="AK676" s="16" t="s">
        <v>3</v>
      </c>
      <c r="AL676" s="65" t="s">
        <v>3842</v>
      </c>
      <c r="AM676" s="31" t="s">
        <v>926</v>
      </c>
    </row>
    <row r="677" spans="2:39" x14ac:dyDescent="0.25">
      <c r="B677" s="18" t="s">
        <v>1463</v>
      </c>
      <c r="C677" s="44" t="s">
        <v>3413</v>
      </c>
      <c r="D677" s="20" t="s">
        <v>395</v>
      </c>
      <c r="E677" s="67" t="s">
        <v>3</v>
      </c>
      <c r="F677" s="51" t="s">
        <v>1157</v>
      </c>
      <c r="G677" s="37" t="s">
        <v>2715</v>
      </c>
      <c r="H677" s="68" t="s">
        <v>929</v>
      </c>
      <c r="I677" s="62" t="s">
        <v>3310</v>
      </c>
      <c r="J677" s="61" t="s">
        <v>250</v>
      </c>
      <c r="K677" s="4">
        <v>5000000</v>
      </c>
      <c r="L677" s="39">
        <v>109.35899999999999</v>
      </c>
      <c r="M677" s="4">
        <v>5467950</v>
      </c>
      <c r="N677" s="4">
        <v>5000000</v>
      </c>
      <c r="O677" s="4">
        <v>5000000</v>
      </c>
      <c r="P677" s="4">
        <v>0</v>
      </c>
      <c r="Q677" s="4">
        <v>0</v>
      </c>
      <c r="R677" s="4">
        <v>0</v>
      </c>
      <c r="S677" s="4">
        <v>0</v>
      </c>
      <c r="T677" s="23">
        <v>5.5</v>
      </c>
      <c r="U677" s="23">
        <v>5.5</v>
      </c>
      <c r="V677" s="5" t="s">
        <v>3844</v>
      </c>
      <c r="W677" s="4">
        <v>12222</v>
      </c>
      <c r="X677" s="4">
        <v>116111</v>
      </c>
      <c r="Y677" s="11">
        <v>44020</v>
      </c>
      <c r="Z677" s="11">
        <v>46736</v>
      </c>
      <c r="AA677" s="2"/>
      <c r="AB677" s="63" t="s">
        <v>3840</v>
      </c>
      <c r="AC677" s="5" t="s">
        <v>4198</v>
      </c>
      <c r="AD677" s="2"/>
      <c r="AE677" s="10">
        <v>45092</v>
      </c>
      <c r="AF677" s="23">
        <v>102.75</v>
      </c>
      <c r="AG677" s="6"/>
      <c r="AH677" s="5" t="s">
        <v>3414</v>
      </c>
      <c r="AI677" s="5" t="s">
        <v>1816</v>
      </c>
      <c r="AJ677" s="5" t="s">
        <v>928</v>
      </c>
      <c r="AK677" s="16" t="s">
        <v>3</v>
      </c>
      <c r="AL677" s="65" t="s">
        <v>3842</v>
      </c>
      <c r="AM677" s="31" t="s">
        <v>933</v>
      </c>
    </row>
    <row r="678" spans="2:39" x14ac:dyDescent="0.25">
      <c r="B678" s="18" t="s">
        <v>2555</v>
      </c>
      <c r="C678" s="44" t="s">
        <v>1464</v>
      </c>
      <c r="D678" s="20" t="s">
        <v>2556</v>
      </c>
      <c r="E678" s="67" t="s">
        <v>3</v>
      </c>
      <c r="F678" s="51" t="s">
        <v>1157</v>
      </c>
      <c r="G678" s="37" t="s">
        <v>2715</v>
      </c>
      <c r="H678" s="68" t="s">
        <v>2715</v>
      </c>
      <c r="I678" s="62" t="s">
        <v>3538</v>
      </c>
      <c r="J678" s="61" t="s">
        <v>250</v>
      </c>
      <c r="K678" s="4">
        <v>5908780</v>
      </c>
      <c r="L678" s="39">
        <v>105.14100000000001</v>
      </c>
      <c r="M678" s="4">
        <v>6308460</v>
      </c>
      <c r="N678" s="4">
        <v>6000000</v>
      </c>
      <c r="O678" s="4">
        <v>5956717</v>
      </c>
      <c r="P678" s="4">
        <v>0</v>
      </c>
      <c r="Q678" s="4">
        <v>16875</v>
      </c>
      <c r="R678" s="4">
        <v>0</v>
      </c>
      <c r="S678" s="4">
        <v>0</v>
      </c>
      <c r="T678" s="23">
        <v>2.8</v>
      </c>
      <c r="U678" s="23">
        <v>3.11</v>
      </c>
      <c r="V678" s="5" t="s">
        <v>3844</v>
      </c>
      <c r="W678" s="4">
        <v>11667</v>
      </c>
      <c r="X678" s="4">
        <v>168000</v>
      </c>
      <c r="Y678" s="11">
        <v>43130</v>
      </c>
      <c r="Z678" s="11">
        <v>45083</v>
      </c>
      <c r="AA678" s="2"/>
      <c r="AB678" s="63" t="s">
        <v>3840</v>
      </c>
      <c r="AC678" s="5" t="s">
        <v>4198</v>
      </c>
      <c r="AD678" s="2"/>
      <c r="AE678" s="10">
        <v>45052</v>
      </c>
      <c r="AF678" s="23">
        <v>100</v>
      </c>
      <c r="AG678" s="6"/>
      <c r="AH678" s="5" t="s">
        <v>3</v>
      </c>
      <c r="AI678" s="5" t="s">
        <v>2556</v>
      </c>
      <c r="AJ678" s="5" t="s">
        <v>3</v>
      </c>
      <c r="AK678" s="16" t="s">
        <v>3</v>
      </c>
      <c r="AL678" s="65" t="s">
        <v>3842</v>
      </c>
      <c r="AM678" s="31" t="s">
        <v>1161</v>
      </c>
    </row>
    <row r="679" spans="2:39" x14ac:dyDescent="0.25">
      <c r="B679" s="18" t="s">
        <v>3663</v>
      </c>
      <c r="C679" s="44" t="s">
        <v>2110</v>
      </c>
      <c r="D679" s="20" t="s">
        <v>126</v>
      </c>
      <c r="E679" s="67" t="s">
        <v>3</v>
      </c>
      <c r="F679" s="51" t="s">
        <v>2218</v>
      </c>
      <c r="G679" s="37" t="s">
        <v>2715</v>
      </c>
      <c r="H679" s="68" t="s">
        <v>3842</v>
      </c>
      <c r="I679" s="62" t="s">
        <v>10</v>
      </c>
      <c r="J679" s="61" t="s">
        <v>250</v>
      </c>
      <c r="K679" s="4">
        <v>1560570</v>
      </c>
      <c r="L679" s="39">
        <v>115.815</v>
      </c>
      <c r="M679" s="4">
        <v>1737225</v>
      </c>
      <c r="N679" s="4">
        <v>1500000</v>
      </c>
      <c r="O679" s="4">
        <v>1544770</v>
      </c>
      <c r="P679" s="4">
        <v>0</v>
      </c>
      <c r="Q679" s="4">
        <v>-9174</v>
      </c>
      <c r="R679" s="4">
        <v>0</v>
      </c>
      <c r="S679" s="4">
        <v>0</v>
      </c>
      <c r="T679" s="23">
        <v>4.875</v>
      </c>
      <c r="U679" s="23">
        <v>4.1210000000000004</v>
      </c>
      <c r="V679" s="5" t="s">
        <v>3312</v>
      </c>
      <c r="W679" s="4">
        <v>9547</v>
      </c>
      <c r="X679" s="4">
        <v>73125</v>
      </c>
      <c r="Y679" s="11">
        <v>43553</v>
      </c>
      <c r="Z679" s="11">
        <v>45791</v>
      </c>
      <c r="AA679" s="2"/>
      <c r="AB679" s="63" t="s">
        <v>3840</v>
      </c>
      <c r="AC679" s="5" t="s">
        <v>4198</v>
      </c>
      <c r="AD679" s="2"/>
      <c r="AE679" s="9"/>
      <c r="AF679" s="23"/>
      <c r="AG679" s="6"/>
      <c r="AH679" s="5" t="s">
        <v>396</v>
      </c>
      <c r="AI679" s="5" t="s">
        <v>3415</v>
      </c>
      <c r="AJ679" s="5" t="s">
        <v>928</v>
      </c>
      <c r="AK679" s="16" t="s">
        <v>3</v>
      </c>
      <c r="AL679" s="65" t="s">
        <v>3842</v>
      </c>
      <c r="AM679" s="31" t="s">
        <v>1176</v>
      </c>
    </row>
    <row r="680" spans="2:39" x14ac:dyDescent="0.25">
      <c r="B680" s="18" t="s">
        <v>708</v>
      </c>
      <c r="C680" s="44" t="s">
        <v>127</v>
      </c>
      <c r="D680" s="20" t="s">
        <v>126</v>
      </c>
      <c r="E680" s="67" t="s">
        <v>3</v>
      </c>
      <c r="F680" s="51" t="s">
        <v>1157</v>
      </c>
      <c r="G680" s="37" t="s">
        <v>2715</v>
      </c>
      <c r="H680" s="68" t="s">
        <v>3842</v>
      </c>
      <c r="I680" s="62" t="s">
        <v>10</v>
      </c>
      <c r="J680" s="61" t="s">
        <v>250</v>
      </c>
      <c r="K680" s="4">
        <v>1998900</v>
      </c>
      <c r="L680" s="39">
        <v>109.414</v>
      </c>
      <c r="M680" s="4">
        <v>2188280</v>
      </c>
      <c r="N680" s="4">
        <v>2000000</v>
      </c>
      <c r="O680" s="4">
        <v>1999385</v>
      </c>
      <c r="P680" s="4">
        <v>0</v>
      </c>
      <c r="Q680" s="4">
        <v>153</v>
      </c>
      <c r="R680" s="4">
        <v>0</v>
      </c>
      <c r="S680" s="4">
        <v>0</v>
      </c>
      <c r="T680" s="23">
        <v>3.625</v>
      </c>
      <c r="U680" s="23">
        <v>3.6339999999999999</v>
      </c>
      <c r="V680" s="5" t="s">
        <v>12</v>
      </c>
      <c r="W680" s="4">
        <v>22153</v>
      </c>
      <c r="X680" s="4">
        <v>72500</v>
      </c>
      <c r="Y680" s="11">
        <v>42984</v>
      </c>
      <c r="Z680" s="11">
        <v>45546</v>
      </c>
      <c r="AA680" s="2"/>
      <c r="AB680" s="63" t="s">
        <v>3840</v>
      </c>
      <c r="AC680" s="5" t="s">
        <v>4198</v>
      </c>
      <c r="AD680" s="2"/>
      <c r="AE680" s="9"/>
      <c r="AF680" s="23"/>
      <c r="AG680" s="9"/>
      <c r="AH680" s="5" t="s">
        <v>396</v>
      </c>
      <c r="AI680" s="5" t="s">
        <v>3415</v>
      </c>
      <c r="AJ680" s="5" t="s">
        <v>928</v>
      </c>
      <c r="AK680" s="16" t="s">
        <v>3</v>
      </c>
      <c r="AL680" s="65" t="s">
        <v>3842</v>
      </c>
      <c r="AM680" s="31" t="s">
        <v>1176</v>
      </c>
    </row>
    <row r="681" spans="2:39" x14ac:dyDescent="0.25">
      <c r="B681" s="18" t="s">
        <v>1817</v>
      </c>
      <c r="C681" s="44" t="s">
        <v>128</v>
      </c>
      <c r="D681" s="20" t="s">
        <v>126</v>
      </c>
      <c r="E681" s="67" t="s">
        <v>3</v>
      </c>
      <c r="F681" s="51" t="s">
        <v>1157</v>
      </c>
      <c r="G681" s="37" t="s">
        <v>2715</v>
      </c>
      <c r="H681" s="68" t="s">
        <v>3842</v>
      </c>
      <c r="I681" s="62" t="s">
        <v>10</v>
      </c>
      <c r="J681" s="61" t="s">
        <v>250</v>
      </c>
      <c r="K681" s="4">
        <v>2466275</v>
      </c>
      <c r="L681" s="39">
        <v>114.82299999999999</v>
      </c>
      <c r="M681" s="4">
        <v>2870575</v>
      </c>
      <c r="N681" s="4">
        <v>2500000</v>
      </c>
      <c r="O681" s="4">
        <v>2469083</v>
      </c>
      <c r="P681" s="4">
        <v>0</v>
      </c>
      <c r="Q681" s="4">
        <v>2808</v>
      </c>
      <c r="R681" s="4">
        <v>0</v>
      </c>
      <c r="S681" s="4">
        <v>0</v>
      </c>
      <c r="T681" s="23">
        <v>4</v>
      </c>
      <c r="U681" s="23">
        <v>4.2140000000000004</v>
      </c>
      <c r="V681" s="5" t="s">
        <v>12</v>
      </c>
      <c r="W681" s="4">
        <v>30556</v>
      </c>
      <c r="X681" s="4">
        <v>50000</v>
      </c>
      <c r="Y681" s="11">
        <v>43943</v>
      </c>
      <c r="Z681" s="11">
        <v>46641</v>
      </c>
      <c r="AA681" s="2"/>
      <c r="AB681" s="63" t="s">
        <v>3840</v>
      </c>
      <c r="AC681" s="5" t="s">
        <v>4198</v>
      </c>
      <c r="AD681" s="2"/>
      <c r="AE681" s="9"/>
      <c r="AF681" s="23"/>
      <c r="AG681" s="6"/>
      <c r="AH681" s="5" t="s">
        <v>396</v>
      </c>
      <c r="AI681" s="5" t="s">
        <v>3415</v>
      </c>
      <c r="AJ681" s="5" t="s">
        <v>928</v>
      </c>
      <c r="AK681" s="16" t="s">
        <v>3</v>
      </c>
      <c r="AL681" s="65" t="s">
        <v>3842</v>
      </c>
      <c r="AM681" s="31" t="s">
        <v>1176</v>
      </c>
    </row>
    <row r="682" spans="2:39" x14ac:dyDescent="0.25">
      <c r="B682" s="18" t="s">
        <v>2898</v>
      </c>
      <c r="C682" s="44" t="s">
        <v>2315</v>
      </c>
      <c r="D682" s="20" t="s">
        <v>709</v>
      </c>
      <c r="E682" s="67" t="s">
        <v>3</v>
      </c>
      <c r="F682" s="51" t="s">
        <v>1157</v>
      </c>
      <c r="G682" s="37" t="s">
        <v>3</v>
      </c>
      <c r="H682" s="68" t="s">
        <v>3842</v>
      </c>
      <c r="I682" s="62" t="s">
        <v>1157</v>
      </c>
      <c r="J682" s="61" t="s">
        <v>3</v>
      </c>
      <c r="K682" s="4">
        <v>5000000</v>
      </c>
      <c r="L682" s="39">
        <v>110</v>
      </c>
      <c r="M682" s="4">
        <v>5500000</v>
      </c>
      <c r="N682" s="4">
        <v>5000000</v>
      </c>
      <c r="O682" s="4">
        <v>5000000</v>
      </c>
      <c r="P682" s="4">
        <v>0</v>
      </c>
      <c r="Q682" s="4">
        <v>0</v>
      </c>
      <c r="R682" s="4">
        <v>0</v>
      </c>
      <c r="S682" s="4">
        <v>0</v>
      </c>
      <c r="T682" s="23">
        <v>4.75</v>
      </c>
      <c r="U682" s="23">
        <v>4.75</v>
      </c>
      <c r="V682" s="5" t="s">
        <v>1982</v>
      </c>
      <c r="W682" s="4">
        <v>112153</v>
      </c>
      <c r="X682" s="4">
        <v>237500</v>
      </c>
      <c r="Y682" s="11">
        <v>43292</v>
      </c>
      <c r="Z682" s="11">
        <v>45849</v>
      </c>
      <c r="AA682" s="2"/>
      <c r="AB682" s="63" t="s">
        <v>1684</v>
      </c>
      <c r="AC682" s="5" t="s">
        <v>3</v>
      </c>
      <c r="AD682" s="2"/>
      <c r="AE682" s="9"/>
      <c r="AF682" s="23"/>
      <c r="AG682" s="9"/>
      <c r="AH682" s="5" t="s">
        <v>1465</v>
      </c>
      <c r="AI682" s="5" t="s">
        <v>397</v>
      </c>
      <c r="AJ682" s="5" t="s">
        <v>397</v>
      </c>
      <c r="AK682" s="16" t="s">
        <v>3</v>
      </c>
      <c r="AL682" s="65" t="s">
        <v>3842</v>
      </c>
      <c r="AM682" s="31" t="s">
        <v>2821</v>
      </c>
    </row>
    <row r="683" spans="2:39" x14ac:dyDescent="0.25">
      <c r="B683" s="18" t="s">
        <v>4016</v>
      </c>
      <c r="C683" s="44" t="s">
        <v>398</v>
      </c>
      <c r="D683" s="20" t="s">
        <v>3416</v>
      </c>
      <c r="E683" s="67" t="s">
        <v>3</v>
      </c>
      <c r="F683" s="51" t="s">
        <v>2218</v>
      </c>
      <c r="G683" s="37" t="s">
        <v>2715</v>
      </c>
      <c r="H683" s="68" t="s">
        <v>3842</v>
      </c>
      <c r="I683" s="62" t="s">
        <v>1157</v>
      </c>
      <c r="J683" s="61" t="s">
        <v>250</v>
      </c>
      <c r="K683" s="4">
        <v>10521175</v>
      </c>
      <c r="L683" s="39">
        <v>101.874</v>
      </c>
      <c r="M683" s="4">
        <v>10696770</v>
      </c>
      <c r="N683" s="4">
        <v>10500000</v>
      </c>
      <c r="O683" s="4">
        <v>10519087</v>
      </c>
      <c r="P683" s="4">
        <v>0</v>
      </c>
      <c r="Q683" s="4">
        <v>-2088</v>
      </c>
      <c r="R683" s="4">
        <v>0</v>
      </c>
      <c r="S683" s="4">
        <v>0</v>
      </c>
      <c r="T683" s="23">
        <v>3.25</v>
      </c>
      <c r="U683" s="23">
        <v>3.2160000000000002</v>
      </c>
      <c r="V683" s="5" t="s">
        <v>248</v>
      </c>
      <c r="W683" s="4">
        <v>128917</v>
      </c>
      <c r="X683" s="4">
        <v>200010</v>
      </c>
      <c r="Y683" s="11">
        <v>43873</v>
      </c>
      <c r="Z683" s="11">
        <v>46433</v>
      </c>
      <c r="AA683" s="2"/>
      <c r="AB683" s="63" t="s">
        <v>3840</v>
      </c>
      <c r="AC683" s="5" t="s">
        <v>4198</v>
      </c>
      <c r="AD683" s="2"/>
      <c r="AE683" s="10">
        <v>46371</v>
      </c>
      <c r="AF683" s="23">
        <v>100</v>
      </c>
      <c r="AG683" s="10">
        <v>46371</v>
      </c>
      <c r="AH683" s="5" t="s">
        <v>2557</v>
      </c>
      <c r="AI683" s="5" t="s">
        <v>3664</v>
      </c>
      <c r="AJ683" s="5" t="s">
        <v>928</v>
      </c>
      <c r="AK683" s="16" t="s">
        <v>3</v>
      </c>
      <c r="AL683" s="65" t="s">
        <v>3842</v>
      </c>
      <c r="AM683" s="31" t="s">
        <v>926</v>
      </c>
    </row>
    <row r="684" spans="2:39" x14ac:dyDescent="0.25">
      <c r="B684" s="18" t="s">
        <v>1466</v>
      </c>
      <c r="C684" s="44" t="s">
        <v>129</v>
      </c>
      <c r="D684" s="20" t="s">
        <v>130</v>
      </c>
      <c r="E684" s="67" t="s">
        <v>3</v>
      </c>
      <c r="F684" s="51" t="s">
        <v>1157</v>
      </c>
      <c r="G684" s="37" t="s">
        <v>2715</v>
      </c>
      <c r="H684" s="68" t="s">
        <v>2715</v>
      </c>
      <c r="I684" s="62" t="s">
        <v>252</v>
      </c>
      <c r="J684" s="61" t="s">
        <v>250</v>
      </c>
      <c r="K684" s="4">
        <v>2048780</v>
      </c>
      <c r="L684" s="39">
        <v>107.26300000000001</v>
      </c>
      <c r="M684" s="4">
        <v>2145260</v>
      </c>
      <c r="N684" s="4">
        <v>2000000</v>
      </c>
      <c r="O684" s="4">
        <v>2023381</v>
      </c>
      <c r="P684" s="4">
        <v>0</v>
      </c>
      <c r="Q684" s="4">
        <v>-8083</v>
      </c>
      <c r="R684" s="4">
        <v>0</v>
      </c>
      <c r="S684" s="4">
        <v>0</v>
      </c>
      <c r="T684" s="23">
        <v>3.2160000000000002</v>
      </c>
      <c r="U684" s="23">
        <v>2.7709999999999999</v>
      </c>
      <c r="V684" s="5" t="s">
        <v>3312</v>
      </c>
      <c r="W684" s="4">
        <v>5896</v>
      </c>
      <c r="X684" s="4">
        <v>64320</v>
      </c>
      <c r="Y684" s="11">
        <v>43007</v>
      </c>
      <c r="Z684" s="11">
        <v>45258</v>
      </c>
      <c r="AA684" s="2"/>
      <c r="AB684" s="63" t="s">
        <v>3840</v>
      </c>
      <c r="AC684" s="5" t="s">
        <v>9</v>
      </c>
      <c r="AD684" s="2"/>
      <c r="AE684" s="11">
        <v>45197</v>
      </c>
      <c r="AF684" s="23">
        <v>100</v>
      </c>
      <c r="AG684" s="10">
        <v>45197</v>
      </c>
      <c r="AH684" s="5" t="s">
        <v>1467</v>
      </c>
      <c r="AI684" s="5" t="s">
        <v>130</v>
      </c>
      <c r="AJ684" s="5" t="s">
        <v>3</v>
      </c>
      <c r="AK684" s="16" t="s">
        <v>3</v>
      </c>
      <c r="AL684" s="65" t="s">
        <v>3842</v>
      </c>
      <c r="AM684" s="31" t="s">
        <v>898</v>
      </c>
    </row>
    <row r="685" spans="2:39" x14ac:dyDescent="0.25">
      <c r="B685" s="18" t="s">
        <v>2558</v>
      </c>
      <c r="C685" s="44" t="s">
        <v>3665</v>
      </c>
      <c r="D685" s="20" t="s">
        <v>130</v>
      </c>
      <c r="E685" s="67" t="s">
        <v>3</v>
      </c>
      <c r="F685" s="51" t="s">
        <v>1157</v>
      </c>
      <c r="G685" s="37" t="s">
        <v>3842</v>
      </c>
      <c r="H685" s="68" t="s">
        <v>2715</v>
      </c>
      <c r="I685" s="62" t="s">
        <v>1358</v>
      </c>
      <c r="J685" s="61" t="s">
        <v>250</v>
      </c>
      <c r="K685" s="4">
        <v>5004879</v>
      </c>
      <c r="L685" s="39">
        <v>107.34699999999999</v>
      </c>
      <c r="M685" s="4">
        <v>5367350</v>
      </c>
      <c r="N685" s="4">
        <v>5000000</v>
      </c>
      <c r="O685" s="4">
        <v>5003376</v>
      </c>
      <c r="P685" s="4">
        <v>0</v>
      </c>
      <c r="Q685" s="4">
        <v>-1019</v>
      </c>
      <c r="R685" s="4">
        <v>0</v>
      </c>
      <c r="S685" s="4">
        <v>0</v>
      </c>
      <c r="T685" s="23">
        <v>3.2240000000000002</v>
      </c>
      <c r="U685" s="23">
        <v>3.2010000000000001</v>
      </c>
      <c r="V685" s="5" t="s">
        <v>3843</v>
      </c>
      <c r="W685" s="4">
        <v>34479</v>
      </c>
      <c r="X685" s="4">
        <v>161200</v>
      </c>
      <c r="Y685" s="11">
        <v>43551</v>
      </c>
      <c r="Z685" s="11">
        <v>45396</v>
      </c>
      <c r="AA685" s="2"/>
      <c r="AB685" s="63" t="s">
        <v>3840</v>
      </c>
      <c r="AC685" s="5" t="s">
        <v>9</v>
      </c>
      <c r="AD685" s="2"/>
      <c r="AE685" s="11">
        <v>45336</v>
      </c>
      <c r="AF685" s="23">
        <v>100</v>
      </c>
      <c r="AG685" s="10">
        <v>45336</v>
      </c>
      <c r="AH685" s="5" t="s">
        <v>1467</v>
      </c>
      <c r="AI685" s="5" t="s">
        <v>130</v>
      </c>
      <c r="AJ685" s="5" t="s">
        <v>3</v>
      </c>
      <c r="AK685" s="16" t="s">
        <v>3</v>
      </c>
      <c r="AL685" s="65" t="s">
        <v>3842</v>
      </c>
      <c r="AM685" s="31" t="s">
        <v>559</v>
      </c>
    </row>
    <row r="686" spans="2:39" x14ac:dyDescent="0.25">
      <c r="B686" s="18" t="s">
        <v>3666</v>
      </c>
      <c r="C686" s="44" t="s">
        <v>710</v>
      </c>
      <c r="D686" s="20" t="s">
        <v>2111</v>
      </c>
      <c r="E686" s="67" t="s">
        <v>3</v>
      </c>
      <c r="F686" s="51" t="s">
        <v>1157</v>
      </c>
      <c r="G686" s="37" t="s">
        <v>3</v>
      </c>
      <c r="H686" s="68" t="s">
        <v>2715</v>
      </c>
      <c r="I686" s="62" t="s">
        <v>3538</v>
      </c>
      <c r="J686" s="61" t="s">
        <v>250</v>
      </c>
      <c r="K686" s="4">
        <v>3965800</v>
      </c>
      <c r="L686" s="39">
        <v>104.599</v>
      </c>
      <c r="M686" s="4">
        <v>4183960</v>
      </c>
      <c r="N686" s="4">
        <v>4000000</v>
      </c>
      <c r="O686" s="4">
        <v>3985528</v>
      </c>
      <c r="P686" s="4">
        <v>0</v>
      </c>
      <c r="Q686" s="4">
        <v>6829</v>
      </c>
      <c r="R686" s="4">
        <v>0</v>
      </c>
      <c r="S686" s="4">
        <v>0</v>
      </c>
      <c r="T686" s="23">
        <v>2.75</v>
      </c>
      <c r="U686" s="23">
        <v>2.9350000000000001</v>
      </c>
      <c r="V686" s="5" t="s">
        <v>1982</v>
      </c>
      <c r="W686" s="4">
        <v>51944</v>
      </c>
      <c r="X686" s="4">
        <v>110000</v>
      </c>
      <c r="Y686" s="11">
        <v>43108</v>
      </c>
      <c r="Z686" s="11">
        <v>44937</v>
      </c>
      <c r="AA686" s="2"/>
      <c r="AB686" s="63" t="s">
        <v>3840</v>
      </c>
      <c r="AC686" s="5" t="s">
        <v>4198</v>
      </c>
      <c r="AD686" s="2"/>
      <c r="AE686" s="9"/>
      <c r="AF686" s="23"/>
      <c r="AG686" s="6"/>
      <c r="AH686" s="5" t="s">
        <v>3202</v>
      </c>
      <c r="AI686" s="5" t="s">
        <v>4331</v>
      </c>
      <c r="AJ686" s="5" t="s">
        <v>928</v>
      </c>
      <c r="AK686" s="16" t="s">
        <v>3</v>
      </c>
      <c r="AL686" s="65" t="s">
        <v>929</v>
      </c>
      <c r="AM686" s="31" t="s">
        <v>1161</v>
      </c>
    </row>
    <row r="687" spans="2:39" x14ac:dyDescent="0.25">
      <c r="B687" s="18" t="s">
        <v>399</v>
      </c>
      <c r="C687" s="44" t="s">
        <v>3203</v>
      </c>
      <c r="D687" s="20" t="s">
        <v>1044</v>
      </c>
      <c r="E687" s="67" t="s">
        <v>3</v>
      </c>
      <c r="F687" s="51" t="s">
        <v>1157</v>
      </c>
      <c r="G687" s="37" t="s">
        <v>3</v>
      </c>
      <c r="H687" s="68" t="s">
        <v>2715</v>
      </c>
      <c r="I687" s="62" t="s">
        <v>1358</v>
      </c>
      <c r="J687" s="61" t="s">
        <v>250</v>
      </c>
      <c r="K687" s="4">
        <v>1993920</v>
      </c>
      <c r="L687" s="39">
        <v>108.973</v>
      </c>
      <c r="M687" s="4">
        <v>2179460</v>
      </c>
      <c r="N687" s="4">
        <v>2000000</v>
      </c>
      <c r="O687" s="4">
        <v>1997173</v>
      </c>
      <c r="P687" s="4">
        <v>0</v>
      </c>
      <c r="Q687" s="4">
        <v>865</v>
      </c>
      <c r="R687" s="4">
        <v>0</v>
      </c>
      <c r="S687" s="4">
        <v>0</v>
      </c>
      <c r="T687" s="23">
        <v>3.8</v>
      </c>
      <c r="U687" s="23">
        <v>3.85</v>
      </c>
      <c r="V687" s="5" t="s">
        <v>1982</v>
      </c>
      <c r="W687" s="4">
        <v>36100</v>
      </c>
      <c r="X687" s="4">
        <v>76000</v>
      </c>
      <c r="Y687" s="11">
        <v>42739</v>
      </c>
      <c r="Z687" s="11">
        <v>45301</v>
      </c>
      <c r="AA687" s="2"/>
      <c r="AB687" s="63" t="s">
        <v>3840</v>
      </c>
      <c r="AC687" s="5" t="s">
        <v>4198</v>
      </c>
      <c r="AD687" s="2"/>
      <c r="AE687" s="9"/>
      <c r="AF687" s="23"/>
      <c r="AG687" s="6"/>
      <c r="AH687" s="5" t="s">
        <v>4017</v>
      </c>
      <c r="AI687" s="5" t="s">
        <v>1044</v>
      </c>
      <c r="AJ687" s="5" t="s">
        <v>3</v>
      </c>
      <c r="AK687" s="16" t="s">
        <v>3</v>
      </c>
      <c r="AL687" s="65" t="s">
        <v>929</v>
      </c>
      <c r="AM687" s="31" t="s">
        <v>559</v>
      </c>
    </row>
    <row r="688" spans="2:39" x14ac:dyDescent="0.25">
      <c r="B688" s="18" t="s">
        <v>1468</v>
      </c>
      <c r="C688" s="44" t="s">
        <v>2899</v>
      </c>
      <c r="D688" s="20" t="s">
        <v>2111</v>
      </c>
      <c r="E688" s="67" t="s">
        <v>3</v>
      </c>
      <c r="F688" s="51" t="s">
        <v>2218</v>
      </c>
      <c r="G688" s="37" t="s">
        <v>3</v>
      </c>
      <c r="H688" s="68" t="s">
        <v>2715</v>
      </c>
      <c r="I688" s="62" t="s">
        <v>1358</v>
      </c>
      <c r="J688" s="61" t="s">
        <v>250</v>
      </c>
      <c r="K688" s="4">
        <v>4970100</v>
      </c>
      <c r="L688" s="39">
        <v>105.63200000000001</v>
      </c>
      <c r="M688" s="4">
        <v>5281600</v>
      </c>
      <c r="N688" s="4">
        <v>5000000</v>
      </c>
      <c r="O688" s="4">
        <v>4975580</v>
      </c>
      <c r="P688" s="4">
        <v>0</v>
      </c>
      <c r="Q688" s="4">
        <v>5480</v>
      </c>
      <c r="R688" s="4">
        <v>0</v>
      </c>
      <c r="S688" s="4">
        <v>0</v>
      </c>
      <c r="T688" s="23">
        <v>2.375</v>
      </c>
      <c r="U688" s="23">
        <v>2.5030000000000001</v>
      </c>
      <c r="V688" s="5" t="s">
        <v>1982</v>
      </c>
      <c r="W688" s="4">
        <v>55087</v>
      </c>
      <c r="X688" s="4">
        <v>59375</v>
      </c>
      <c r="Y688" s="11">
        <v>43836</v>
      </c>
      <c r="Z688" s="11">
        <v>45671</v>
      </c>
      <c r="AA688" s="2"/>
      <c r="AB688" s="63" t="s">
        <v>3840</v>
      </c>
      <c r="AC688" s="5" t="s">
        <v>4198</v>
      </c>
      <c r="AD688" s="2"/>
      <c r="AE688" s="6"/>
      <c r="AF688" s="23"/>
      <c r="AG688" s="6"/>
      <c r="AH688" s="5" t="s">
        <v>3202</v>
      </c>
      <c r="AI688" s="5" t="s">
        <v>4331</v>
      </c>
      <c r="AJ688" s="5" t="s">
        <v>928</v>
      </c>
      <c r="AK688" s="16" t="s">
        <v>3</v>
      </c>
      <c r="AL688" s="65" t="s">
        <v>929</v>
      </c>
      <c r="AM688" s="31" t="s">
        <v>559</v>
      </c>
    </row>
    <row r="689" spans="2:39" x14ac:dyDescent="0.25">
      <c r="B689" s="18" t="s">
        <v>2900</v>
      </c>
      <c r="C689" s="44" t="s">
        <v>2559</v>
      </c>
      <c r="D689" s="20" t="s">
        <v>2111</v>
      </c>
      <c r="E689" s="67" t="s">
        <v>3</v>
      </c>
      <c r="F689" s="51" t="s">
        <v>1157</v>
      </c>
      <c r="G689" s="37" t="s">
        <v>3842</v>
      </c>
      <c r="H689" s="68" t="s">
        <v>2715</v>
      </c>
      <c r="I689" s="62" t="s">
        <v>1358</v>
      </c>
      <c r="J689" s="61" t="s">
        <v>250</v>
      </c>
      <c r="K689" s="4">
        <v>25101550</v>
      </c>
      <c r="L689" s="39">
        <v>102.163</v>
      </c>
      <c r="M689" s="4">
        <v>25540750</v>
      </c>
      <c r="N689" s="4">
        <v>25000000</v>
      </c>
      <c r="O689" s="4">
        <v>25100097</v>
      </c>
      <c r="P689" s="4">
        <v>0</v>
      </c>
      <c r="Q689" s="4">
        <v>-1453</v>
      </c>
      <c r="R689" s="4">
        <v>0</v>
      </c>
      <c r="S689" s="4">
        <v>0</v>
      </c>
      <c r="T689" s="23">
        <v>1.6519999999999999</v>
      </c>
      <c r="U689" s="23">
        <v>1.31</v>
      </c>
      <c r="V689" s="5" t="s">
        <v>3843</v>
      </c>
      <c r="W689" s="4">
        <v>97514</v>
      </c>
      <c r="X689" s="4">
        <v>0</v>
      </c>
      <c r="Y689" s="11">
        <v>44175</v>
      </c>
      <c r="Z689" s="11">
        <v>46301</v>
      </c>
      <c r="AA689" s="2"/>
      <c r="AB689" s="63" t="s">
        <v>3840</v>
      </c>
      <c r="AC689" s="5" t="s">
        <v>4198</v>
      </c>
      <c r="AD689" s="2"/>
      <c r="AE689" s="11">
        <v>45936</v>
      </c>
      <c r="AF689" s="23">
        <v>100</v>
      </c>
      <c r="AG689" s="9"/>
      <c r="AH689" s="5" t="s">
        <v>3202</v>
      </c>
      <c r="AI689" s="5" t="s">
        <v>4331</v>
      </c>
      <c r="AJ689" s="5" t="s">
        <v>928</v>
      </c>
      <c r="AK689" s="16" t="s">
        <v>3</v>
      </c>
      <c r="AL689" s="65" t="s">
        <v>929</v>
      </c>
      <c r="AM689" s="31" t="s">
        <v>559</v>
      </c>
    </row>
    <row r="690" spans="2:39" x14ac:dyDescent="0.25">
      <c r="B690" s="18" t="s">
        <v>4018</v>
      </c>
      <c r="C690" s="44" t="s">
        <v>1469</v>
      </c>
      <c r="D690" s="20" t="s">
        <v>2316</v>
      </c>
      <c r="E690" s="67" t="s">
        <v>3</v>
      </c>
      <c r="F690" s="51" t="s">
        <v>1157</v>
      </c>
      <c r="G690" s="37" t="s">
        <v>2715</v>
      </c>
      <c r="H690" s="68" t="s">
        <v>3842</v>
      </c>
      <c r="I690" s="62" t="s">
        <v>1157</v>
      </c>
      <c r="J690" s="61" t="s">
        <v>250</v>
      </c>
      <c r="K690" s="4">
        <v>4987050</v>
      </c>
      <c r="L690" s="39">
        <v>111.636</v>
      </c>
      <c r="M690" s="4">
        <v>5581800</v>
      </c>
      <c r="N690" s="4">
        <v>5000000</v>
      </c>
      <c r="O690" s="4">
        <v>4991563</v>
      </c>
      <c r="P690" s="4">
        <v>0</v>
      </c>
      <c r="Q690" s="4">
        <v>1710</v>
      </c>
      <c r="R690" s="4">
        <v>0</v>
      </c>
      <c r="S690" s="4">
        <v>0</v>
      </c>
      <c r="T690" s="23">
        <v>4.45</v>
      </c>
      <c r="U690" s="23">
        <v>4.4930000000000003</v>
      </c>
      <c r="V690" s="5" t="s">
        <v>3312</v>
      </c>
      <c r="W690" s="4">
        <v>28431</v>
      </c>
      <c r="X690" s="4">
        <v>222500</v>
      </c>
      <c r="Y690" s="11">
        <v>43214</v>
      </c>
      <c r="Z690" s="11">
        <v>45792</v>
      </c>
      <c r="AA690" s="2"/>
      <c r="AB690" s="63" t="s">
        <v>3840</v>
      </c>
      <c r="AC690" s="5" t="s">
        <v>9</v>
      </c>
      <c r="AD690" s="2"/>
      <c r="AE690" s="11">
        <v>45731</v>
      </c>
      <c r="AF690" s="23">
        <v>100</v>
      </c>
      <c r="AG690" s="6"/>
      <c r="AH690" s="5" t="s">
        <v>2901</v>
      </c>
      <c r="AI690" s="5" t="s">
        <v>3667</v>
      </c>
      <c r="AJ690" s="5" t="s">
        <v>928</v>
      </c>
      <c r="AK690" s="16" t="s">
        <v>3</v>
      </c>
      <c r="AL690" s="65" t="s">
        <v>3842</v>
      </c>
      <c r="AM690" s="31" t="s">
        <v>926</v>
      </c>
    </row>
    <row r="691" spans="2:39" x14ac:dyDescent="0.25">
      <c r="B691" s="18" t="s">
        <v>711</v>
      </c>
      <c r="C691" s="44" t="s">
        <v>1818</v>
      </c>
      <c r="D691" s="20" t="s">
        <v>400</v>
      </c>
      <c r="E691" s="67" t="s">
        <v>3</v>
      </c>
      <c r="F691" s="51" t="s">
        <v>1157</v>
      </c>
      <c r="G691" s="37" t="s">
        <v>3</v>
      </c>
      <c r="H691" s="68" t="s">
        <v>2715</v>
      </c>
      <c r="I691" s="62" t="s">
        <v>1358</v>
      </c>
      <c r="J691" s="61" t="s">
        <v>250</v>
      </c>
      <c r="K691" s="4">
        <v>3992840</v>
      </c>
      <c r="L691" s="39">
        <v>109.54</v>
      </c>
      <c r="M691" s="4">
        <v>4381600</v>
      </c>
      <c r="N691" s="4">
        <v>4000000</v>
      </c>
      <c r="O691" s="4">
        <v>3995681</v>
      </c>
      <c r="P691" s="4">
        <v>0</v>
      </c>
      <c r="Q691" s="4">
        <v>986</v>
      </c>
      <c r="R691" s="4">
        <v>0</v>
      </c>
      <c r="S691" s="4">
        <v>0</v>
      </c>
      <c r="T691" s="23">
        <v>3.375</v>
      </c>
      <c r="U691" s="23">
        <v>3.4039999999999999</v>
      </c>
      <c r="V691" s="5" t="s">
        <v>1982</v>
      </c>
      <c r="W691" s="4">
        <v>64500</v>
      </c>
      <c r="X691" s="4">
        <v>135000</v>
      </c>
      <c r="Y691" s="11">
        <v>43102</v>
      </c>
      <c r="Z691" s="11">
        <v>45666</v>
      </c>
      <c r="AA691" s="2"/>
      <c r="AB691" s="63" t="s">
        <v>3840</v>
      </c>
      <c r="AC691" s="5" t="s">
        <v>4198</v>
      </c>
      <c r="AD691" s="2"/>
      <c r="AE691" s="9"/>
      <c r="AF691" s="23"/>
      <c r="AG691" s="6"/>
      <c r="AH691" s="5" t="s">
        <v>4017</v>
      </c>
      <c r="AI691" s="5" t="s">
        <v>1044</v>
      </c>
      <c r="AJ691" s="5" t="s">
        <v>928</v>
      </c>
      <c r="AK691" s="16" t="s">
        <v>3</v>
      </c>
      <c r="AL691" s="65" t="s">
        <v>929</v>
      </c>
      <c r="AM691" s="31" t="s">
        <v>559</v>
      </c>
    </row>
    <row r="692" spans="2:39" x14ac:dyDescent="0.25">
      <c r="B692" s="18" t="s">
        <v>1819</v>
      </c>
      <c r="C692" s="44" t="s">
        <v>1820</v>
      </c>
      <c r="D692" s="20" t="s">
        <v>400</v>
      </c>
      <c r="E692" s="67" t="s">
        <v>3</v>
      </c>
      <c r="F692" s="51" t="s">
        <v>1157</v>
      </c>
      <c r="G692" s="37" t="s">
        <v>3</v>
      </c>
      <c r="H692" s="68" t="s">
        <v>2715</v>
      </c>
      <c r="I692" s="62" t="s">
        <v>1358</v>
      </c>
      <c r="J692" s="61" t="s">
        <v>250</v>
      </c>
      <c r="K692" s="4">
        <v>2993580</v>
      </c>
      <c r="L692" s="39">
        <v>106.316</v>
      </c>
      <c r="M692" s="4">
        <v>3189480</v>
      </c>
      <c r="N692" s="4">
        <v>3000000</v>
      </c>
      <c r="O692" s="4">
        <v>2997080</v>
      </c>
      <c r="P692" s="4">
        <v>0</v>
      </c>
      <c r="Q692" s="4">
        <v>1275</v>
      </c>
      <c r="R692" s="4">
        <v>0</v>
      </c>
      <c r="S692" s="4">
        <v>0</v>
      </c>
      <c r="T692" s="23">
        <v>3.5</v>
      </c>
      <c r="U692" s="23">
        <v>3.5470000000000002</v>
      </c>
      <c r="V692" s="5" t="s">
        <v>12</v>
      </c>
      <c r="W692" s="4">
        <v>35000</v>
      </c>
      <c r="X692" s="4">
        <v>105000</v>
      </c>
      <c r="Y692" s="11">
        <v>43153</v>
      </c>
      <c r="Z692" s="11">
        <v>44986</v>
      </c>
      <c r="AA692" s="2"/>
      <c r="AB692" s="63" t="s">
        <v>3840</v>
      </c>
      <c r="AC692" s="5" t="s">
        <v>4198</v>
      </c>
      <c r="AD692" s="2"/>
      <c r="AE692" s="6"/>
      <c r="AF692" s="23"/>
      <c r="AG692" s="6"/>
      <c r="AH692" s="5" t="s">
        <v>4017</v>
      </c>
      <c r="AI692" s="5" t="s">
        <v>1044</v>
      </c>
      <c r="AJ692" s="5" t="s">
        <v>928</v>
      </c>
      <c r="AK692" s="16" t="s">
        <v>3</v>
      </c>
      <c r="AL692" s="65" t="s">
        <v>929</v>
      </c>
      <c r="AM692" s="31" t="s">
        <v>559</v>
      </c>
    </row>
    <row r="693" spans="2:39" x14ac:dyDescent="0.25">
      <c r="B693" s="18" t="s">
        <v>2902</v>
      </c>
      <c r="C693" s="44" t="s">
        <v>2903</v>
      </c>
      <c r="D693" s="20" t="s">
        <v>400</v>
      </c>
      <c r="E693" s="67" t="s">
        <v>3</v>
      </c>
      <c r="F693" s="51" t="s">
        <v>1157</v>
      </c>
      <c r="G693" s="37" t="s">
        <v>3842</v>
      </c>
      <c r="H693" s="68" t="s">
        <v>2715</v>
      </c>
      <c r="I693" s="62" t="s">
        <v>1358</v>
      </c>
      <c r="J693" s="61" t="s">
        <v>250</v>
      </c>
      <c r="K693" s="4">
        <v>5127750</v>
      </c>
      <c r="L693" s="39">
        <v>106.663</v>
      </c>
      <c r="M693" s="4">
        <v>5333150</v>
      </c>
      <c r="N693" s="4">
        <v>5000000</v>
      </c>
      <c r="O693" s="4">
        <v>5105448</v>
      </c>
      <c r="P693" s="4">
        <v>0</v>
      </c>
      <c r="Q693" s="4">
        <v>-22302</v>
      </c>
      <c r="R693" s="4">
        <v>0</v>
      </c>
      <c r="S693" s="4">
        <v>0</v>
      </c>
      <c r="T693" s="23">
        <v>2.819</v>
      </c>
      <c r="U693" s="23">
        <v>2.2490000000000001</v>
      </c>
      <c r="V693" s="5" t="s">
        <v>3312</v>
      </c>
      <c r="W693" s="4">
        <v>16444</v>
      </c>
      <c r="X693" s="4">
        <v>140950</v>
      </c>
      <c r="Y693" s="11">
        <v>43873</v>
      </c>
      <c r="Z693" s="11">
        <v>45980</v>
      </c>
      <c r="AA693" s="2"/>
      <c r="AB693" s="63" t="s">
        <v>3840</v>
      </c>
      <c r="AC693" s="5" t="s">
        <v>4198</v>
      </c>
      <c r="AD693" s="2"/>
      <c r="AE693" s="10">
        <v>45615</v>
      </c>
      <c r="AF693" s="23">
        <v>100</v>
      </c>
      <c r="AG693" s="10">
        <v>45615</v>
      </c>
      <c r="AH693" s="5" t="s">
        <v>4017</v>
      </c>
      <c r="AI693" s="5" t="s">
        <v>1044</v>
      </c>
      <c r="AJ693" s="5" t="s">
        <v>928</v>
      </c>
      <c r="AK693" s="16" t="s">
        <v>3</v>
      </c>
      <c r="AL693" s="65" t="s">
        <v>929</v>
      </c>
      <c r="AM693" s="31" t="s">
        <v>559</v>
      </c>
    </row>
    <row r="694" spans="2:39" x14ac:dyDescent="0.25">
      <c r="B694" s="18" t="s">
        <v>401</v>
      </c>
      <c r="C694" s="44" t="s">
        <v>4332</v>
      </c>
      <c r="D694" s="20" t="s">
        <v>400</v>
      </c>
      <c r="E694" s="67" t="s">
        <v>3</v>
      </c>
      <c r="F694" s="51" t="s">
        <v>1157</v>
      </c>
      <c r="G694" s="37" t="s">
        <v>3842</v>
      </c>
      <c r="H694" s="68" t="s">
        <v>2715</v>
      </c>
      <c r="I694" s="62" t="s">
        <v>1358</v>
      </c>
      <c r="J694" s="61" t="s">
        <v>250</v>
      </c>
      <c r="K694" s="4">
        <v>14449800</v>
      </c>
      <c r="L694" s="39">
        <v>104.64400000000001</v>
      </c>
      <c r="M694" s="4">
        <v>14650160</v>
      </c>
      <c r="N694" s="4">
        <v>14000000</v>
      </c>
      <c r="O694" s="4">
        <v>14413466</v>
      </c>
      <c r="P694" s="4">
        <v>0</v>
      </c>
      <c r="Q694" s="4">
        <v>-36334</v>
      </c>
      <c r="R694" s="4">
        <v>0</v>
      </c>
      <c r="S694" s="4">
        <v>0</v>
      </c>
      <c r="T694" s="23">
        <v>2.2189999999999999</v>
      </c>
      <c r="U694" s="23">
        <v>1.5249999999999999</v>
      </c>
      <c r="V694" s="5" t="s">
        <v>3844</v>
      </c>
      <c r="W694" s="4">
        <v>18985</v>
      </c>
      <c r="X694" s="4">
        <v>155330</v>
      </c>
      <c r="Y694" s="11">
        <v>44047</v>
      </c>
      <c r="Z694" s="11">
        <v>46182</v>
      </c>
      <c r="AA694" s="2"/>
      <c r="AB694" s="63" t="s">
        <v>3840</v>
      </c>
      <c r="AC694" s="5" t="s">
        <v>4198</v>
      </c>
      <c r="AD694" s="2"/>
      <c r="AE694" s="11">
        <v>45817</v>
      </c>
      <c r="AF694" s="23">
        <v>100</v>
      </c>
      <c r="AG694" s="10">
        <v>45817</v>
      </c>
      <c r="AH694" s="5" t="s">
        <v>4017</v>
      </c>
      <c r="AI694" s="5" t="s">
        <v>1044</v>
      </c>
      <c r="AJ694" s="5" t="s">
        <v>928</v>
      </c>
      <c r="AK694" s="16" t="s">
        <v>3</v>
      </c>
      <c r="AL694" s="65" t="s">
        <v>929</v>
      </c>
      <c r="AM694" s="31" t="s">
        <v>559</v>
      </c>
    </row>
    <row r="695" spans="2:39" x14ac:dyDescent="0.25">
      <c r="B695" s="18" t="s">
        <v>1470</v>
      </c>
      <c r="C695" s="44" t="s">
        <v>2904</v>
      </c>
      <c r="D695" s="20" t="s">
        <v>402</v>
      </c>
      <c r="E695" s="67" t="s">
        <v>3</v>
      </c>
      <c r="F695" s="51" t="s">
        <v>1157</v>
      </c>
      <c r="G695" s="37" t="s">
        <v>3</v>
      </c>
      <c r="H695" s="68" t="s">
        <v>2715</v>
      </c>
      <c r="I695" s="62" t="s">
        <v>252</v>
      </c>
      <c r="J695" s="61" t="s">
        <v>250</v>
      </c>
      <c r="K695" s="4">
        <v>4994150</v>
      </c>
      <c r="L695" s="39">
        <v>104.26900000000001</v>
      </c>
      <c r="M695" s="4">
        <v>5213450</v>
      </c>
      <c r="N695" s="4">
        <v>5000000</v>
      </c>
      <c r="O695" s="4">
        <v>4997506</v>
      </c>
      <c r="P695" s="4">
        <v>0</v>
      </c>
      <c r="Q695" s="4">
        <v>1063</v>
      </c>
      <c r="R695" s="4">
        <v>0</v>
      </c>
      <c r="S695" s="4">
        <v>0</v>
      </c>
      <c r="T695" s="23">
        <v>2.75</v>
      </c>
      <c r="U695" s="23">
        <v>2.7730000000000001</v>
      </c>
      <c r="V695" s="5" t="s">
        <v>12</v>
      </c>
      <c r="W695" s="4">
        <v>35139</v>
      </c>
      <c r="X695" s="4">
        <v>137500</v>
      </c>
      <c r="Y695" s="11">
        <v>43004</v>
      </c>
      <c r="Z695" s="11">
        <v>45014</v>
      </c>
      <c r="AA695" s="2"/>
      <c r="AB695" s="63" t="s">
        <v>3840</v>
      </c>
      <c r="AC695" s="5" t="s">
        <v>4198</v>
      </c>
      <c r="AD695" s="2"/>
      <c r="AE695" s="9"/>
      <c r="AF695" s="23"/>
      <c r="AG695" s="9"/>
      <c r="AH695" s="5" t="s">
        <v>3</v>
      </c>
      <c r="AI695" s="5" t="s">
        <v>2560</v>
      </c>
      <c r="AJ695" s="5" t="s">
        <v>928</v>
      </c>
      <c r="AK695" s="16" t="s">
        <v>3</v>
      </c>
      <c r="AL695" s="65" t="s">
        <v>3842</v>
      </c>
      <c r="AM695" s="31" t="s">
        <v>898</v>
      </c>
    </row>
    <row r="696" spans="2:39" x14ac:dyDescent="0.25">
      <c r="B696" s="18" t="s">
        <v>2561</v>
      </c>
      <c r="C696" s="44" t="s">
        <v>1471</v>
      </c>
      <c r="D696" s="20" t="s">
        <v>2905</v>
      </c>
      <c r="E696" s="67" t="s">
        <v>3</v>
      </c>
      <c r="F696" s="51" t="s">
        <v>1157</v>
      </c>
      <c r="G696" s="37" t="s">
        <v>3</v>
      </c>
      <c r="H696" s="68" t="s">
        <v>3842</v>
      </c>
      <c r="I696" s="62" t="s">
        <v>10</v>
      </c>
      <c r="J696" s="61" t="s">
        <v>3</v>
      </c>
      <c r="K696" s="4">
        <v>4000000</v>
      </c>
      <c r="L696" s="39">
        <v>105.684</v>
      </c>
      <c r="M696" s="4">
        <v>4227360</v>
      </c>
      <c r="N696" s="4">
        <v>4000000</v>
      </c>
      <c r="O696" s="4">
        <v>4000000</v>
      </c>
      <c r="P696" s="4">
        <v>0</v>
      </c>
      <c r="Q696" s="4">
        <v>0</v>
      </c>
      <c r="R696" s="4">
        <v>0</v>
      </c>
      <c r="S696" s="4">
        <v>0</v>
      </c>
      <c r="T696" s="23">
        <v>2.82</v>
      </c>
      <c r="U696" s="23">
        <v>2.82</v>
      </c>
      <c r="V696" s="5" t="s">
        <v>248</v>
      </c>
      <c r="W696" s="4">
        <v>43867</v>
      </c>
      <c r="X696" s="4">
        <v>56400</v>
      </c>
      <c r="Y696" s="11">
        <v>43872</v>
      </c>
      <c r="Z696" s="11">
        <v>46794</v>
      </c>
      <c r="AA696" s="2"/>
      <c r="AB696" s="63" t="s">
        <v>1684</v>
      </c>
      <c r="AC696" s="5" t="s">
        <v>3</v>
      </c>
      <c r="AD696" s="2"/>
      <c r="AE696" s="6"/>
      <c r="AF696" s="23"/>
      <c r="AG696" s="6"/>
      <c r="AH696" s="5" t="s">
        <v>3</v>
      </c>
      <c r="AI696" s="5" t="s">
        <v>2905</v>
      </c>
      <c r="AJ696" s="5" t="s">
        <v>3</v>
      </c>
      <c r="AK696" s="16" t="s">
        <v>3</v>
      </c>
      <c r="AL696" s="65" t="s">
        <v>3842</v>
      </c>
      <c r="AM696" s="31" t="s">
        <v>1438</v>
      </c>
    </row>
    <row r="697" spans="2:39" x14ac:dyDescent="0.25">
      <c r="B697" s="18" t="s">
        <v>3668</v>
      </c>
      <c r="C697" s="44" t="s">
        <v>4333</v>
      </c>
      <c r="D697" s="20" t="s">
        <v>1244</v>
      </c>
      <c r="E697" s="67" t="s">
        <v>3</v>
      </c>
      <c r="F697" s="51" t="s">
        <v>2218</v>
      </c>
      <c r="G697" s="37" t="s">
        <v>3</v>
      </c>
      <c r="H697" s="68" t="s">
        <v>2715</v>
      </c>
      <c r="I697" s="62" t="s">
        <v>2218</v>
      </c>
      <c r="J697" s="61" t="s">
        <v>250</v>
      </c>
      <c r="K697" s="4">
        <v>1959640</v>
      </c>
      <c r="L697" s="39">
        <v>111.557</v>
      </c>
      <c r="M697" s="4">
        <v>2231140</v>
      </c>
      <c r="N697" s="4">
        <v>2000000</v>
      </c>
      <c r="O697" s="4">
        <v>1973152</v>
      </c>
      <c r="P697" s="4">
        <v>0</v>
      </c>
      <c r="Q697" s="4">
        <v>5536</v>
      </c>
      <c r="R697" s="4">
        <v>0</v>
      </c>
      <c r="S697" s="4">
        <v>0</v>
      </c>
      <c r="T697" s="23">
        <v>3.375</v>
      </c>
      <c r="U697" s="23">
        <v>3.7090000000000001</v>
      </c>
      <c r="V697" s="5" t="s">
        <v>3312</v>
      </c>
      <c r="W697" s="4">
        <v>7500</v>
      </c>
      <c r="X697" s="4">
        <v>67500</v>
      </c>
      <c r="Y697" s="11">
        <v>43278</v>
      </c>
      <c r="Z697" s="11">
        <v>45798</v>
      </c>
      <c r="AA697" s="2"/>
      <c r="AB697" s="63" t="s">
        <v>3840</v>
      </c>
      <c r="AC697" s="5" t="s">
        <v>4198</v>
      </c>
      <c r="AD697" s="2"/>
      <c r="AE697" s="6"/>
      <c r="AF697" s="23"/>
      <c r="AG697" s="6"/>
      <c r="AH697" s="5" t="s">
        <v>3</v>
      </c>
      <c r="AI697" s="5" t="s">
        <v>1245</v>
      </c>
      <c r="AJ697" s="5" t="s">
        <v>3417</v>
      </c>
      <c r="AK697" s="16" t="s">
        <v>3</v>
      </c>
      <c r="AL697" s="65" t="s">
        <v>929</v>
      </c>
      <c r="AM697" s="31" t="s">
        <v>1351</v>
      </c>
    </row>
    <row r="698" spans="2:39" x14ac:dyDescent="0.25">
      <c r="B698" s="18" t="s">
        <v>712</v>
      </c>
      <c r="C698" s="44" t="s">
        <v>2112</v>
      </c>
      <c r="D698" s="20" t="s">
        <v>3204</v>
      </c>
      <c r="E698" s="67" t="s">
        <v>3</v>
      </c>
      <c r="F698" s="51" t="s">
        <v>1157</v>
      </c>
      <c r="G698" s="37" t="s">
        <v>3</v>
      </c>
      <c r="H698" s="68" t="s">
        <v>2715</v>
      </c>
      <c r="I698" s="62" t="s">
        <v>1358</v>
      </c>
      <c r="J698" s="61" t="s">
        <v>250</v>
      </c>
      <c r="K698" s="4">
        <v>4982400</v>
      </c>
      <c r="L698" s="39">
        <v>107.35899999999999</v>
      </c>
      <c r="M698" s="4">
        <v>5367950</v>
      </c>
      <c r="N698" s="4">
        <v>5000000</v>
      </c>
      <c r="O698" s="4">
        <v>4991444</v>
      </c>
      <c r="P698" s="4">
        <v>0</v>
      </c>
      <c r="Q698" s="4">
        <v>3474</v>
      </c>
      <c r="R698" s="4">
        <v>0</v>
      </c>
      <c r="S698" s="4">
        <v>0</v>
      </c>
      <c r="T698" s="23">
        <v>3.75</v>
      </c>
      <c r="U698" s="23">
        <v>3.8279999999999998</v>
      </c>
      <c r="V698" s="5" t="s">
        <v>3843</v>
      </c>
      <c r="W698" s="4">
        <v>34896</v>
      </c>
      <c r="X698" s="4">
        <v>187500</v>
      </c>
      <c r="Y698" s="11">
        <v>43207</v>
      </c>
      <c r="Z698" s="11">
        <v>45040</v>
      </c>
      <c r="AA698" s="2"/>
      <c r="AB698" s="63" t="s">
        <v>3840</v>
      </c>
      <c r="AC698" s="5" t="s">
        <v>4198</v>
      </c>
      <c r="AD698" s="2"/>
      <c r="AE698" s="6"/>
      <c r="AF698" s="23"/>
      <c r="AG698" s="6"/>
      <c r="AH698" s="5" t="s">
        <v>3</v>
      </c>
      <c r="AI698" s="5" t="s">
        <v>2906</v>
      </c>
      <c r="AJ698" s="5" t="s">
        <v>928</v>
      </c>
      <c r="AK698" s="16" t="s">
        <v>3</v>
      </c>
      <c r="AL698" s="65" t="s">
        <v>929</v>
      </c>
      <c r="AM698" s="31" t="s">
        <v>559</v>
      </c>
    </row>
    <row r="699" spans="2:39" x14ac:dyDescent="0.25">
      <c r="B699" s="18" t="s">
        <v>1821</v>
      </c>
      <c r="C699" s="44" t="s">
        <v>713</v>
      </c>
      <c r="D699" s="20" t="s">
        <v>4019</v>
      </c>
      <c r="E699" s="67" t="s">
        <v>3</v>
      </c>
      <c r="F699" s="51" t="s">
        <v>1157</v>
      </c>
      <c r="G699" s="37" t="s">
        <v>3842</v>
      </c>
      <c r="H699" s="68" t="s">
        <v>2715</v>
      </c>
      <c r="I699" s="62" t="s">
        <v>1358</v>
      </c>
      <c r="J699" s="61" t="s">
        <v>250</v>
      </c>
      <c r="K699" s="4">
        <v>5013050</v>
      </c>
      <c r="L699" s="39">
        <v>103.575</v>
      </c>
      <c r="M699" s="4">
        <v>5178750</v>
      </c>
      <c r="N699" s="4">
        <v>5000000</v>
      </c>
      <c r="O699" s="4">
        <v>5011692</v>
      </c>
      <c r="P699" s="4">
        <v>0</v>
      </c>
      <c r="Q699" s="4">
        <v>-1358</v>
      </c>
      <c r="R699" s="4">
        <v>0</v>
      </c>
      <c r="S699" s="4">
        <v>0</v>
      </c>
      <c r="T699" s="23">
        <v>1.907</v>
      </c>
      <c r="U699" s="23">
        <v>1.8520000000000001</v>
      </c>
      <c r="V699" s="5" t="s">
        <v>3844</v>
      </c>
      <c r="W699" s="4">
        <v>3973</v>
      </c>
      <c r="X699" s="4">
        <v>47675</v>
      </c>
      <c r="Y699" s="11">
        <v>43991</v>
      </c>
      <c r="Z699" s="11">
        <v>46189</v>
      </c>
      <c r="AA699" s="2"/>
      <c r="AB699" s="63" t="s">
        <v>3840</v>
      </c>
      <c r="AC699" s="5" t="s">
        <v>4198</v>
      </c>
      <c r="AD699" s="2"/>
      <c r="AE699" s="10">
        <v>45824</v>
      </c>
      <c r="AF699" s="23">
        <v>100</v>
      </c>
      <c r="AG699" s="10">
        <v>45824</v>
      </c>
      <c r="AH699" s="5" t="s">
        <v>3</v>
      </c>
      <c r="AI699" s="5" t="s">
        <v>4334</v>
      </c>
      <c r="AJ699" s="5" t="s">
        <v>928</v>
      </c>
      <c r="AK699" s="16" t="s">
        <v>3</v>
      </c>
      <c r="AL699" s="65" t="s">
        <v>929</v>
      </c>
      <c r="AM699" s="31" t="s">
        <v>559</v>
      </c>
    </row>
    <row r="700" spans="2:39" x14ac:dyDescent="0.25">
      <c r="B700" s="18" t="s">
        <v>2907</v>
      </c>
      <c r="C700" s="44" t="s">
        <v>3418</v>
      </c>
      <c r="D700" s="20" t="s">
        <v>403</v>
      </c>
      <c r="E700" s="67" t="s">
        <v>3</v>
      </c>
      <c r="F700" s="51" t="s">
        <v>1157</v>
      </c>
      <c r="G700" s="37" t="s">
        <v>3</v>
      </c>
      <c r="H700" s="68" t="s">
        <v>2715</v>
      </c>
      <c r="I700" s="62" t="s">
        <v>252</v>
      </c>
      <c r="J700" s="61" t="s">
        <v>3</v>
      </c>
      <c r="K700" s="4">
        <v>4000000</v>
      </c>
      <c r="L700" s="39">
        <v>109.059</v>
      </c>
      <c r="M700" s="4">
        <v>4362360</v>
      </c>
      <c r="N700" s="4">
        <v>4000000</v>
      </c>
      <c r="O700" s="4">
        <v>4000000</v>
      </c>
      <c r="P700" s="4">
        <v>0</v>
      </c>
      <c r="Q700" s="4">
        <v>0</v>
      </c>
      <c r="R700" s="4">
        <v>0</v>
      </c>
      <c r="S700" s="4">
        <v>0</v>
      </c>
      <c r="T700" s="23">
        <v>3.32</v>
      </c>
      <c r="U700" s="23">
        <v>3.32</v>
      </c>
      <c r="V700" s="5" t="s">
        <v>3312</v>
      </c>
      <c r="W700" s="4">
        <v>19920</v>
      </c>
      <c r="X700" s="4">
        <v>66400</v>
      </c>
      <c r="Y700" s="11">
        <v>43958</v>
      </c>
      <c r="Z700" s="11">
        <v>45784</v>
      </c>
      <c r="AA700" s="2"/>
      <c r="AB700" s="63" t="s">
        <v>1684</v>
      </c>
      <c r="AC700" s="5" t="s">
        <v>3</v>
      </c>
      <c r="AD700" s="2"/>
      <c r="AE700" s="9"/>
      <c r="AF700" s="23"/>
      <c r="AG700" s="6"/>
      <c r="AH700" s="5" t="s">
        <v>3</v>
      </c>
      <c r="AI700" s="5" t="s">
        <v>403</v>
      </c>
      <c r="AJ700" s="5" t="s">
        <v>3</v>
      </c>
      <c r="AK700" s="16" t="s">
        <v>3</v>
      </c>
      <c r="AL700" s="65" t="s">
        <v>3842</v>
      </c>
      <c r="AM700" s="31" t="s">
        <v>3967</v>
      </c>
    </row>
    <row r="701" spans="2:39" x14ac:dyDescent="0.25">
      <c r="B701" s="18" t="s">
        <v>4020</v>
      </c>
      <c r="C701" s="44" t="s">
        <v>3419</v>
      </c>
      <c r="D701" s="20" t="s">
        <v>403</v>
      </c>
      <c r="E701" s="67" t="s">
        <v>3</v>
      </c>
      <c r="F701" s="51" t="s">
        <v>1157</v>
      </c>
      <c r="G701" s="37" t="s">
        <v>3</v>
      </c>
      <c r="H701" s="68" t="s">
        <v>2715</v>
      </c>
      <c r="I701" s="62" t="s">
        <v>252</v>
      </c>
      <c r="J701" s="61" t="s">
        <v>3</v>
      </c>
      <c r="K701" s="4">
        <v>2000000</v>
      </c>
      <c r="L701" s="39">
        <v>110</v>
      </c>
      <c r="M701" s="4">
        <v>2200000</v>
      </c>
      <c r="N701" s="4">
        <v>2000000</v>
      </c>
      <c r="O701" s="4">
        <v>2000000</v>
      </c>
      <c r="P701" s="4">
        <v>0</v>
      </c>
      <c r="Q701" s="4">
        <v>0</v>
      </c>
      <c r="R701" s="4">
        <v>0</v>
      </c>
      <c r="S701" s="4">
        <v>0</v>
      </c>
      <c r="T701" s="23">
        <v>3.46</v>
      </c>
      <c r="U701" s="23">
        <v>3.46</v>
      </c>
      <c r="V701" s="5" t="s">
        <v>3312</v>
      </c>
      <c r="W701" s="4">
        <v>10380</v>
      </c>
      <c r="X701" s="4">
        <v>34600</v>
      </c>
      <c r="Y701" s="11">
        <v>43958</v>
      </c>
      <c r="Z701" s="11">
        <v>46514</v>
      </c>
      <c r="AA701" s="2"/>
      <c r="AB701" s="63" t="s">
        <v>1684</v>
      </c>
      <c r="AC701" s="5" t="s">
        <v>3</v>
      </c>
      <c r="AD701" s="2"/>
      <c r="AE701" s="9"/>
      <c r="AF701" s="23"/>
      <c r="AG701" s="6"/>
      <c r="AH701" s="5" t="s">
        <v>3</v>
      </c>
      <c r="AI701" s="5" t="s">
        <v>403</v>
      </c>
      <c r="AJ701" s="5" t="s">
        <v>3</v>
      </c>
      <c r="AK701" s="16" t="s">
        <v>3</v>
      </c>
      <c r="AL701" s="65" t="s">
        <v>3842</v>
      </c>
      <c r="AM701" s="31" t="s">
        <v>3967</v>
      </c>
    </row>
    <row r="702" spans="2:39" x14ac:dyDescent="0.25">
      <c r="B702" s="18" t="s">
        <v>714</v>
      </c>
      <c r="C702" s="44" t="s">
        <v>4335</v>
      </c>
      <c r="D702" s="20" t="s">
        <v>404</v>
      </c>
      <c r="E702" s="67" t="s">
        <v>3</v>
      </c>
      <c r="F702" s="51" t="s">
        <v>1157</v>
      </c>
      <c r="G702" s="37" t="s">
        <v>3842</v>
      </c>
      <c r="H702" s="68" t="s">
        <v>3842</v>
      </c>
      <c r="I702" s="62" t="s">
        <v>10</v>
      </c>
      <c r="J702" s="61" t="s">
        <v>250</v>
      </c>
      <c r="K702" s="4">
        <v>5998120</v>
      </c>
      <c r="L702" s="39">
        <v>102.191</v>
      </c>
      <c r="M702" s="4">
        <v>6131460</v>
      </c>
      <c r="N702" s="4">
        <v>6000000</v>
      </c>
      <c r="O702" s="4">
        <v>5999330</v>
      </c>
      <c r="P702" s="4">
        <v>0</v>
      </c>
      <c r="Q702" s="4">
        <v>620</v>
      </c>
      <c r="R702" s="4">
        <v>0</v>
      </c>
      <c r="S702" s="4">
        <v>0</v>
      </c>
      <c r="T702" s="23">
        <v>2.82</v>
      </c>
      <c r="U702" s="23">
        <v>2.831</v>
      </c>
      <c r="V702" s="5" t="s">
        <v>1982</v>
      </c>
      <c r="W702" s="4">
        <v>76140</v>
      </c>
      <c r="X702" s="4">
        <v>169200</v>
      </c>
      <c r="Y702" s="11">
        <v>43553</v>
      </c>
      <c r="Z702" s="11">
        <v>44580</v>
      </c>
      <c r="AA702" s="2"/>
      <c r="AB702" s="63" t="s">
        <v>3840</v>
      </c>
      <c r="AC702" s="5" t="s">
        <v>9</v>
      </c>
      <c r="AD702" s="2"/>
      <c r="AE702" s="11">
        <v>44549</v>
      </c>
      <c r="AF702" s="23">
        <v>100</v>
      </c>
      <c r="AG702" s="6"/>
      <c r="AH702" s="5" t="s">
        <v>3420</v>
      </c>
      <c r="AI702" s="5" t="s">
        <v>1472</v>
      </c>
      <c r="AJ702" s="5" t="s">
        <v>1472</v>
      </c>
      <c r="AK702" s="16" t="s">
        <v>3</v>
      </c>
      <c r="AL702" s="65" t="s">
        <v>3842</v>
      </c>
      <c r="AM702" s="31" t="s">
        <v>1176</v>
      </c>
    </row>
    <row r="703" spans="2:39" x14ac:dyDescent="0.25">
      <c r="B703" s="18" t="s">
        <v>1822</v>
      </c>
      <c r="C703" s="44" t="s">
        <v>405</v>
      </c>
      <c r="D703" s="20" t="s">
        <v>1473</v>
      </c>
      <c r="E703" s="67" t="s">
        <v>3</v>
      </c>
      <c r="F703" s="51" t="s">
        <v>1157</v>
      </c>
      <c r="G703" s="37" t="s">
        <v>2715</v>
      </c>
      <c r="H703" s="68" t="s">
        <v>3842</v>
      </c>
      <c r="I703" s="62" t="s">
        <v>1157</v>
      </c>
      <c r="J703" s="61" t="s">
        <v>250</v>
      </c>
      <c r="K703" s="4">
        <v>4977420</v>
      </c>
      <c r="L703" s="39">
        <v>108.89</v>
      </c>
      <c r="M703" s="4">
        <v>5444500</v>
      </c>
      <c r="N703" s="4">
        <v>5000000</v>
      </c>
      <c r="O703" s="4">
        <v>4986467</v>
      </c>
      <c r="P703" s="4">
        <v>0</v>
      </c>
      <c r="Q703" s="4">
        <v>3516</v>
      </c>
      <c r="R703" s="4">
        <v>0</v>
      </c>
      <c r="S703" s="4">
        <v>0</v>
      </c>
      <c r="T703" s="23">
        <v>3.625</v>
      </c>
      <c r="U703" s="23">
        <v>3.7069999999999999</v>
      </c>
      <c r="V703" s="5" t="s">
        <v>1982</v>
      </c>
      <c r="W703" s="4">
        <v>83576</v>
      </c>
      <c r="X703" s="4">
        <v>181275</v>
      </c>
      <c r="Y703" s="11">
        <v>43553</v>
      </c>
      <c r="Z703" s="11">
        <v>45488</v>
      </c>
      <c r="AA703" s="2"/>
      <c r="AB703" s="63" t="s">
        <v>3840</v>
      </c>
      <c r="AC703" s="5" t="s">
        <v>4198</v>
      </c>
      <c r="AD703" s="2"/>
      <c r="AE703" s="6"/>
      <c r="AF703" s="23"/>
      <c r="AG703" s="6"/>
      <c r="AH703" s="5" t="s">
        <v>3669</v>
      </c>
      <c r="AI703" s="5" t="s">
        <v>2562</v>
      </c>
      <c r="AJ703" s="5" t="s">
        <v>928</v>
      </c>
      <c r="AK703" s="16" t="s">
        <v>3</v>
      </c>
      <c r="AL703" s="65" t="s">
        <v>3842</v>
      </c>
      <c r="AM703" s="31" t="s">
        <v>926</v>
      </c>
    </row>
    <row r="704" spans="2:39" x14ac:dyDescent="0.25">
      <c r="B704" s="18" t="s">
        <v>3670</v>
      </c>
      <c r="C704" s="44" t="s">
        <v>1045</v>
      </c>
      <c r="D704" s="20" t="s">
        <v>715</v>
      </c>
      <c r="E704" s="67" t="s">
        <v>3</v>
      </c>
      <c r="F704" s="51" t="s">
        <v>1157</v>
      </c>
      <c r="G704" s="37" t="s">
        <v>3842</v>
      </c>
      <c r="H704" s="68" t="s">
        <v>3842</v>
      </c>
      <c r="I704" s="62" t="s">
        <v>1157</v>
      </c>
      <c r="J704" s="61" t="s">
        <v>250</v>
      </c>
      <c r="K704" s="4">
        <v>3970186</v>
      </c>
      <c r="L704" s="39">
        <v>103.53100000000001</v>
      </c>
      <c r="M704" s="4">
        <v>4037709</v>
      </c>
      <c r="N704" s="4">
        <v>3900000</v>
      </c>
      <c r="O704" s="4">
        <v>3917919</v>
      </c>
      <c r="P704" s="4">
        <v>0</v>
      </c>
      <c r="Q704" s="4">
        <v>-15535</v>
      </c>
      <c r="R704" s="4">
        <v>0</v>
      </c>
      <c r="S704" s="4">
        <v>0</v>
      </c>
      <c r="T704" s="23">
        <v>4.5</v>
      </c>
      <c r="U704" s="23">
        <v>4.0720000000000001</v>
      </c>
      <c r="V704" s="5" t="s">
        <v>12</v>
      </c>
      <c r="W704" s="4">
        <v>54113</v>
      </c>
      <c r="X704" s="4">
        <v>175500</v>
      </c>
      <c r="Y704" s="11">
        <v>42905</v>
      </c>
      <c r="Z704" s="11">
        <v>44630</v>
      </c>
      <c r="AA704" s="2"/>
      <c r="AB704" s="63" t="s">
        <v>3840</v>
      </c>
      <c r="AC704" s="5" t="s">
        <v>4198</v>
      </c>
      <c r="AD704" s="2"/>
      <c r="AE704" s="10">
        <v>44602</v>
      </c>
      <c r="AF704" s="23">
        <v>100</v>
      </c>
      <c r="AG704" s="10">
        <v>44602</v>
      </c>
      <c r="AH704" s="5" t="s">
        <v>3</v>
      </c>
      <c r="AI704" s="5" t="s">
        <v>3421</v>
      </c>
      <c r="AJ704" s="5" t="s">
        <v>1046</v>
      </c>
      <c r="AK704" s="16" t="s">
        <v>3</v>
      </c>
      <c r="AL704" s="65" t="s">
        <v>3842</v>
      </c>
      <c r="AM704" s="31" t="s">
        <v>926</v>
      </c>
    </row>
    <row r="705" spans="2:39" x14ac:dyDescent="0.25">
      <c r="B705" s="18" t="s">
        <v>406</v>
      </c>
      <c r="C705" s="44" t="s">
        <v>3422</v>
      </c>
      <c r="D705" s="20" t="s">
        <v>4021</v>
      </c>
      <c r="E705" s="67" t="s">
        <v>3</v>
      </c>
      <c r="F705" s="51" t="s">
        <v>1157</v>
      </c>
      <c r="G705" s="37" t="s">
        <v>2715</v>
      </c>
      <c r="H705" s="68" t="s">
        <v>2715</v>
      </c>
      <c r="I705" s="62" t="s">
        <v>2218</v>
      </c>
      <c r="J705" s="61" t="s">
        <v>250</v>
      </c>
      <c r="K705" s="4">
        <v>10970600</v>
      </c>
      <c r="L705" s="39">
        <v>111.512</v>
      </c>
      <c r="M705" s="4">
        <v>11151200</v>
      </c>
      <c r="N705" s="4">
        <v>10000000</v>
      </c>
      <c r="O705" s="4">
        <v>10890970</v>
      </c>
      <c r="P705" s="4">
        <v>0</v>
      </c>
      <c r="Q705" s="4">
        <v>-79630</v>
      </c>
      <c r="R705" s="4">
        <v>0</v>
      </c>
      <c r="S705" s="4">
        <v>0</v>
      </c>
      <c r="T705" s="23">
        <v>3</v>
      </c>
      <c r="U705" s="23">
        <v>1.466</v>
      </c>
      <c r="V705" s="5" t="s">
        <v>3843</v>
      </c>
      <c r="W705" s="4">
        <v>70833</v>
      </c>
      <c r="X705" s="4">
        <v>150000</v>
      </c>
      <c r="Y705" s="11">
        <v>43985</v>
      </c>
      <c r="Z705" s="11">
        <v>46483</v>
      </c>
      <c r="AA705" s="2"/>
      <c r="AB705" s="63" t="s">
        <v>3840</v>
      </c>
      <c r="AC705" s="5" t="s">
        <v>4198</v>
      </c>
      <c r="AD705" s="2"/>
      <c r="AE705" s="10">
        <v>46424</v>
      </c>
      <c r="AF705" s="23">
        <v>100</v>
      </c>
      <c r="AG705" s="10">
        <v>46424</v>
      </c>
      <c r="AH705" s="5" t="s">
        <v>2113</v>
      </c>
      <c r="AI705" s="5" t="s">
        <v>4021</v>
      </c>
      <c r="AJ705" s="5" t="s">
        <v>3</v>
      </c>
      <c r="AK705" s="16" t="s">
        <v>3</v>
      </c>
      <c r="AL705" s="65" t="s">
        <v>3842</v>
      </c>
      <c r="AM705" s="31" t="s">
        <v>1351</v>
      </c>
    </row>
    <row r="706" spans="2:39" x14ac:dyDescent="0.25">
      <c r="B706" s="18" t="s">
        <v>1823</v>
      </c>
      <c r="C706" s="44" t="s">
        <v>716</v>
      </c>
      <c r="D706" s="20" t="s">
        <v>1824</v>
      </c>
      <c r="E706" s="67" t="s">
        <v>3</v>
      </c>
      <c r="F706" s="51" t="s">
        <v>1157</v>
      </c>
      <c r="G706" s="37" t="s">
        <v>2715</v>
      </c>
      <c r="H706" s="68" t="s">
        <v>3842</v>
      </c>
      <c r="I706" s="62" t="s">
        <v>1157</v>
      </c>
      <c r="J706" s="61" t="s">
        <v>250</v>
      </c>
      <c r="K706" s="4">
        <v>5503000</v>
      </c>
      <c r="L706" s="39">
        <v>111.63500000000001</v>
      </c>
      <c r="M706" s="4">
        <v>5581750</v>
      </c>
      <c r="N706" s="4">
        <v>5000000</v>
      </c>
      <c r="O706" s="4">
        <v>5467114</v>
      </c>
      <c r="P706" s="4">
        <v>0</v>
      </c>
      <c r="Q706" s="4">
        <v>-35886</v>
      </c>
      <c r="R706" s="4">
        <v>0</v>
      </c>
      <c r="S706" s="4">
        <v>0</v>
      </c>
      <c r="T706" s="23">
        <v>3.75</v>
      </c>
      <c r="U706" s="23">
        <v>1.788</v>
      </c>
      <c r="V706" s="5" t="s">
        <v>248</v>
      </c>
      <c r="W706" s="4">
        <v>78125</v>
      </c>
      <c r="X706" s="4">
        <v>0</v>
      </c>
      <c r="Y706" s="11">
        <v>44047</v>
      </c>
      <c r="Z706" s="11">
        <v>46054</v>
      </c>
      <c r="AA706" s="2"/>
      <c r="AB706" s="63" t="s">
        <v>3840</v>
      </c>
      <c r="AC706" s="5" t="s">
        <v>4198</v>
      </c>
      <c r="AD706" s="2"/>
      <c r="AE706" s="10">
        <v>46023</v>
      </c>
      <c r="AF706" s="23">
        <v>100</v>
      </c>
      <c r="AG706" s="10">
        <v>46023</v>
      </c>
      <c r="AH706" s="5" t="s">
        <v>3</v>
      </c>
      <c r="AI706" s="5" t="s">
        <v>1824</v>
      </c>
      <c r="AJ706" s="5" t="s">
        <v>3</v>
      </c>
      <c r="AK706" s="16" t="s">
        <v>3</v>
      </c>
      <c r="AL706" s="65" t="s">
        <v>3842</v>
      </c>
      <c r="AM706" s="31" t="s">
        <v>926</v>
      </c>
    </row>
    <row r="707" spans="2:39" x14ac:dyDescent="0.25">
      <c r="B707" s="18" t="s">
        <v>2908</v>
      </c>
      <c r="C707" s="44" t="s">
        <v>717</v>
      </c>
      <c r="D707" s="20" t="s">
        <v>1825</v>
      </c>
      <c r="E707" s="67" t="s">
        <v>3</v>
      </c>
      <c r="F707" s="51" t="s">
        <v>2218</v>
      </c>
      <c r="G707" s="37" t="s">
        <v>2715</v>
      </c>
      <c r="H707" s="68" t="s">
        <v>3842</v>
      </c>
      <c r="I707" s="62" t="s">
        <v>1157</v>
      </c>
      <c r="J707" s="61" t="s">
        <v>250</v>
      </c>
      <c r="K707" s="4">
        <v>2536711</v>
      </c>
      <c r="L707" s="39">
        <v>102.16</v>
      </c>
      <c r="M707" s="4">
        <v>2554000</v>
      </c>
      <c r="N707" s="4">
        <v>2500000</v>
      </c>
      <c r="O707" s="4">
        <v>2512413</v>
      </c>
      <c r="P707" s="4">
        <v>0</v>
      </c>
      <c r="Q707" s="4">
        <v>-10239</v>
      </c>
      <c r="R707" s="4">
        <v>0</v>
      </c>
      <c r="S707" s="4">
        <v>0</v>
      </c>
      <c r="T707" s="23">
        <v>3.7</v>
      </c>
      <c r="U707" s="23">
        <v>3.2639999999999998</v>
      </c>
      <c r="V707" s="5" t="s">
        <v>3843</v>
      </c>
      <c r="W707" s="4">
        <v>23125</v>
      </c>
      <c r="X707" s="4">
        <v>92500</v>
      </c>
      <c r="Y707" s="11">
        <v>43305</v>
      </c>
      <c r="Z707" s="11">
        <v>44652</v>
      </c>
      <c r="AA707" s="2"/>
      <c r="AB707" s="63" t="s">
        <v>3840</v>
      </c>
      <c r="AC707" s="5" t="s">
        <v>4198</v>
      </c>
      <c r="AD707" s="2"/>
      <c r="AE707" s="10">
        <v>44621</v>
      </c>
      <c r="AF707" s="23">
        <v>100</v>
      </c>
      <c r="AG707" s="10">
        <v>44621</v>
      </c>
      <c r="AH707" s="5" t="s">
        <v>3</v>
      </c>
      <c r="AI707" s="5" t="s">
        <v>1825</v>
      </c>
      <c r="AJ707" s="5" t="s">
        <v>3</v>
      </c>
      <c r="AK707" s="16" t="s">
        <v>3</v>
      </c>
      <c r="AL707" s="65" t="s">
        <v>929</v>
      </c>
      <c r="AM707" s="31" t="s">
        <v>926</v>
      </c>
    </row>
    <row r="708" spans="2:39" x14ac:dyDescent="0.25">
      <c r="B708" s="18" t="s">
        <v>4022</v>
      </c>
      <c r="C708" s="44" t="s">
        <v>4336</v>
      </c>
      <c r="D708" s="20" t="s">
        <v>718</v>
      </c>
      <c r="E708" s="67" t="s">
        <v>3</v>
      </c>
      <c r="F708" s="51" t="s">
        <v>1157</v>
      </c>
      <c r="G708" s="37" t="s">
        <v>3</v>
      </c>
      <c r="H708" s="68" t="s">
        <v>3842</v>
      </c>
      <c r="I708" s="62" t="s">
        <v>10</v>
      </c>
      <c r="J708" s="61" t="s">
        <v>952</v>
      </c>
      <c r="K708" s="4">
        <v>3000000</v>
      </c>
      <c r="L708" s="39">
        <v>109.947</v>
      </c>
      <c r="M708" s="4">
        <v>3298410</v>
      </c>
      <c r="N708" s="4">
        <v>3000000</v>
      </c>
      <c r="O708" s="4">
        <v>3000000</v>
      </c>
      <c r="P708" s="4">
        <v>0</v>
      </c>
      <c r="Q708" s="4">
        <v>0</v>
      </c>
      <c r="R708" s="4">
        <v>0</v>
      </c>
      <c r="S708" s="4">
        <v>0</v>
      </c>
      <c r="T708" s="23">
        <v>3.34</v>
      </c>
      <c r="U708" s="23">
        <v>3.34</v>
      </c>
      <c r="V708" s="5" t="s">
        <v>248</v>
      </c>
      <c r="W708" s="4">
        <v>36462</v>
      </c>
      <c r="X708" s="4">
        <v>0</v>
      </c>
      <c r="Y708" s="11">
        <v>44063</v>
      </c>
      <c r="Z708" s="11">
        <v>46619</v>
      </c>
      <c r="AA708" s="2"/>
      <c r="AB708" s="63" t="s">
        <v>1684</v>
      </c>
      <c r="AC708" s="5" t="s">
        <v>3</v>
      </c>
      <c r="AD708" s="2"/>
      <c r="AE708" s="6"/>
      <c r="AF708" s="23"/>
      <c r="AG708" s="6"/>
      <c r="AH708" s="5" t="s">
        <v>1047</v>
      </c>
      <c r="AI708" s="5" t="s">
        <v>718</v>
      </c>
      <c r="AJ708" s="5" t="s">
        <v>3</v>
      </c>
      <c r="AK708" s="16" t="s">
        <v>3</v>
      </c>
      <c r="AL708" s="65" t="s">
        <v>3842</v>
      </c>
      <c r="AM708" s="31" t="s">
        <v>3205</v>
      </c>
    </row>
    <row r="709" spans="2:39" x14ac:dyDescent="0.25">
      <c r="B709" s="18" t="s">
        <v>719</v>
      </c>
      <c r="C709" s="44" t="s">
        <v>1474</v>
      </c>
      <c r="D709" s="20" t="s">
        <v>3671</v>
      </c>
      <c r="E709" s="67" t="s">
        <v>3</v>
      </c>
      <c r="F709" s="51" t="s">
        <v>2218</v>
      </c>
      <c r="G709" s="37" t="s">
        <v>3</v>
      </c>
      <c r="H709" s="68" t="s">
        <v>2715</v>
      </c>
      <c r="I709" s="62" t="s">
        <v>252</v>
      </c>
      <c r="J709" s="61" t="s">
        <v>250</v>
      </c>
      <c r="K709" s="4">
        <v>467016</v>
      </c>
      <c r="L709" s="39">
        <v>135.53899999999999</v>
      </c>
      <c r="M709" s="4">
        <v>542156</v>
      </c>
      <c r="N709" s="4">
        <v>400000</v>
      </c>
      <c r="O709" s="4">
        <v>430953</v>
      </c>
      <c r="P709" s="4">
        <v>0</v>
      </c>
      <c r="Q709" s="4">
        <v>-3727</v>
      </c>
      <c r="R709" s="4">
        <v>0</v>
      </c>
      <c r="S709" s="4">
        <v>0</v>
      </c>
      <c r="T709" s="23">
        <v>7.5</v>
      </c>
      <c r="U709" s="23">
        <v>6.0570000000000004</v>
      </c>
      <c r="V709" s="5" t="s">
        <v>248</v>
      </c>
      <c r="W709" s="4">
        <v>12500</v>
      </c>
      <c r="X709" s="4">
        <v>30000</v>
      </c>
      <c r="Y709" s="11">
        <v>39149</v>
      </c>
      <c r="Z709" s="11">
        <v>46600</v>
      </c>
      <c r="AA709" s="2"/>
      <c r="AB709" s="63" t="s">
        <v>3840</v>
      </c>
      <c r="AC709" s="5" t="s">
        <v>4198</v>
      </c>
      <c r="AD709" s="2"/>
      <c r="AE709" s="6"/>
      <c r="AF709" s="23"/>
      <c r="AG709" s="6"/>
      <c r="AH709" s="5" t="s">
        <v>3</v>
      </c>
      <c r="AI709" s="5" t="s">
        <v>2909</v>
      </c>
      <c r="AJ709" s="5" t="s">
        <v>2910</v>
      </c>
      <c r="AK709" s="16" t="s">
        <v>3</v>
      </c>
      <c r="AL709" s="65" t="s">
        <v>3842</v>
      </c>
      <c r="AM709" s="31" t="s">
        <v>898</v>
      </c>
    </row>
    <row r="710" spans="2:39" x14ac:dyDescent="0.25">
      <c r="B710" s="18" t="s">
        <v>1826</v>
      </c>
      <c r="C710" s="44" t="s">
        <v>1048</v>
      </c>
      <c r="D710" s="20" t="s">
        <v>3672</v>
      </c>
      <c r="E710" s="67" t="s">
        <v>3</v>
      </c>
      <c r="F710" s="51" t="s">
        <v>1157</v>
      </c>
      <c r="G710" s="37" t="s">
        <v>2715</v>
      </c>
      <c r="H710" s="68" t="s">
        <v>929</v>
      </c>
      <c r="I710" s="62" t="s">
        <v>3310</v>
      </c>
      <c r="J710" s="61" t="s">
        <v>250</v>
      </c>
      <c r="K710" s="4">
        <v>1955000</v>
      </c>
      <c r="L710" s="39">
        <v>114.30200000000001</v>
      </c>
      <c r="M710" s="4">
        <v>2286040</v>
      </c>
      <c r="N710" s="4">
        <v>2000000</v>
      </c>
      <c r="O710" s="4">
        <v>1969369</v>
      </c>
      <c r="P710" s="4">
        <v>0</v>
      </c>
      <c r="Q710" s="4">
        <v>5185</v>
      </c>
      <c r="R710" s="4">
        <v>0</v>
      </c>
      <c r="S710" s="4">
        <v>0</v>
      </c>
      <c r="T710" s="23">
        <v>4</v>
      </c>
      <c r="U710" s="23">
        <v>4.3339999999999996</v>
      </c>
      <c r="V710" s="5" t="s">
        <v>12</v>
      </c>
      <c r="W710" s="4">
        <v>26667</v>
      </c>
      <c r="X710" s="4">
        <v>80000</v>
      </c>
      <c r="Y710" s="11">
        <v>43140</v>
      </c>
      <c r="Z710" s="11">
        <v>46082</v>
      </c>
      <c r="AA710" s="2"/>
      <c r="AB710" s="63" t="s">
        <v>3840</v>
      </c>
      <c r="AC710" s="5" t="s">
        <v>4198</v>
      </c>
      <c r="AD710" s="2"/>
      <c r="AE710" s="10">
        <v>45992</v>
      </c>
      <c r="AF710" s="23">
        <v>100</v>
      </c>
      <c r="AG710" s="6"/>
      <c r="AH710" s="5" t="s">
        <v>3</v>
      </c>
      <c r="AI710" s="5" t="s">
        <v>4023</v>
      </c>
      <c r="AJ710" s="5" t="s">
        <v>928</v>
      </c>
      <c r="AK710" s="16" t="s">
        <v>3</v>
      </c>
      <c r="AL710" s="65" t="s">
        <v>3842</v>
      </c>
      <c r="AM710" s="31" t="s">
        <v>933</v>
      </c>
    </row>
    <row r="711" spans="2:39" x14ac:dyDescent="0.25">
      <c r="B711" s="18" t="s">
        <v>2911</v>
      </c>
      <c r="C711" s="44" t="s">
        <v>2317</v>
      </c>
      <c r="D711" s="20" t="s">
        <v>4023</v>
      </c>
      <c r="E711" s="67" t="s">
        <v>3</v>
      </c>
      <c r="F711" s="51" t="s">
        <v>2218</v>
      </c>
      <c r="G711" s="37" t="s">
        <v>2715</v>
      </c>
      <c r="H711" s="68" t="s">
        <v>929</v>
      </c>
      <c r="I711" s="62" t="s">
        <v>3310</v>
      </c>
      <c r="J711" s="61" t="s">
        <v>250</v>
      </c>
      <c r="K711" s="4">
        <v>2991210</v>
      </c>
      <c r="L711" s="39">
        <v>108.949</v>
      </c>
      <c r="M711" s="4">
        <v>3268470</v>
      </c>
      <c r="N711" s="4">
        <v>3000000</v>
      </c>
      <c r="O711" s="4">
        <v>2995267</v>
      </c>
      <c r="P711" s="4">
        <v>0</v>
      </c>
      <c r="Q711" s="4">
        <v>1701</v>
      </c>
      <c r="R711" s="4">
        <v>0</v>
      </c>
      <c r="S711" s="4">
        <v>0</v>
      </c>
      <c r="T711" s="23">
        <v>4.125</v>
      </c>
      <c r="U711" s="23">
        <v>4.1900000000000004</v>
      </c>
      <c r="V711" s="5" t="s">
        <v>248</v>
      </c>
      <c r="W711" s="4">
        <v>51563</v>
      </c>
      <c r="X711" s="4">
        <v>123750</v>
      </c>
      <c r="Y711" s="11">
        <v>43300</v>
      </c>
      <c r="Z711" s="11">
        <v>45139</v>
      </c>
      <c r="AA711" s="2"/>
      <c r="AB711" s="63" t="s">
        <v>3840</v>
      </c>
      <c r="AC711" s="5" t="s">
        <v>4198</v>
      </c>
      <c r="AD711" s="2"/>
      <c r="AE711" s="10">
        <v>45108</v>
      </c>
      <c r="AF711" s="23">
        <v>100</v>
      </c>
      <c r="AG711" s="6"/>
      <c r="AH711" s="5" t="s">
        <v>3</v>
      </c>
      <c r="AI711" s="5" t="s">
        <v>4023</v>
      </c>
      <c r="AJ711" s="5" t="s">
        <v>3</v>
      </c>
      <c r="AK711" s="16" t="s">
        <v>3</v>
      </c>
      <c r="AL711" s="65" t="s">
        <v>3842</v>
      </c>
      <c r="AM711" s="31" t="s">
        <v>933</v>
      </c>
    </row>
    <row r="712" spans="2:39" x14ac:dyDescent="0.25">
      <c r="B712" s="18" t="s">
        <v>4024</v>
      </c>
      <c r="C712" s="44" t="s">
        <v>2114</v>
      </c>
      <c r="D712" s="20" t="s">
        <v>4023</v>
      </c>
      <c r="E712" s="67" t="s">
        <v>3</v>
      </c>
      <c r="F712" s="51" t="s">
        <v>2218</v>
      </c>
      <c r="G712" s="37" t="s">
        <v>2715</v>
      </c>
      <c r="H712" s="68" t="s">
        <v>929</v>
      </c>
      <c r="I712" s="62" t="s">
        <v>3310</v>
      </c>
      <c r="J712" s="61" t="s">
        <v>250</v>
      </c>
      <c r="K712" s="4">
        <v>4988980</v>
      </c>
      <c r="L712" s="39">
        <v>109.11799999999999</v>
      </c>
      <c r="M712" s="4">
        <v>5455900</v>
      </c>
      <c r="N712" s="4">
        <v>5000000</v>
      </c>
      <c r="O712" s="4">
        <v>4992601</v>
      </c>
      <c r="P712" s="4">
        <v>0</v>
      </c>
      <c r="Q712" s="4">
        <v>2050</v>
      </c>
      <c r="R712" s="4">
        <v>0</v>
      </c>
      <c r="S712" s="4">
        <v>0</v>
      </c>
      <c r="T712" s="23">
        <v>3.625</v>
      </c>
      <c r="U712" s="23">
        <v>3.673</v>
      </c>
      <c r="V712" s="5" t="s">
        <v>3312</v>
      </c>
      <c r="W712" s="4">
        <v>30208</v>
      </c>
      <c r="X712" s="4">
        <v>181250</v>
      </c>
      <c r="Y712" s="11">
        <v>43559</v>
      </c>
      <c r="Z712" s="11">
        <v>45413</v>
      </c>
      <c r="AA712" s="2"/>
      <c r="AB712" s="63" t="s">
        <v>3840</v>
      </c>
      <c r="AC712" s="5" t="s">
        <v>4198</v>
      </c>
      <c r="AD712" s="2"/>
      <c r="AE712" s="10">
        <v>45383</v>
      </c>
      <c r="AF712" s="23">
        <v>100</v>
      </c>
      <c r="AG712" s="6"/>
      <c r="AH712" s="5" t="s">
        <v>3</v>
      </c>
      <c r="AI712" s="5" t="s">
        <v>4023</v>
      </c>
      <c r="AJ712" s="5" t="s">
        <v>3</v>
      </c>
      <c r="AK712" s="16" t="s">
        <v>3</v>
      </c>
      <c r="AL712" s="65" t="s">
        <v>3842</v>
      </c>
      <c r="AM712" s="31" t="s">
        <v>933</v>
      </c>
    </row>
    <row r="713" spans="2:39" x14ac:dyDescent="0.25">
      <c r="B713" s="18" t="s">
        <v>720</v>
      </c>
      <c r="C713" s="44" t="s">
        <v>4337</v>
      </c>
      <c r="D713" s="20" t="s">
        <v>3423</v>
      </c>
      <c r="E713" s="67" t="s">
        <v>3</v>
      </c>
      <c r="F713" s="51" t="s">
        <v>1157</v>
      </c>
      <c r="G713" s="37" t="s">
        <v>3</v>
      </c>
      <c r="H713" s="68" t="s">
        <v>3842</v>
      </c>
      <c r="I713" s="62" t="s">
        <v>10</v>
      </c>
      <c r="J713" s="61" t="s">
        <v>3</v>
      </c>
      <c r="K713" s="4">
        <v>2500000</v>
      </c>
      <c r="L713" s="39">
        <v>110</v>
      </c>
      <c r="M713" s="4">
        <v>2750000</v>
      </c>
      <c r="N713" s="4">
        <v>2500000</v>
      </c>
      <c r="O713" s="4">
        <v>2500000</v>
      </c>
      <c r="P713" s="4">
        <v>0</v>
      </c>
      <c r="Q713" s="4">
        <v>0</v>
      </c>
      <c r="R713" s="4">
        <v>0</v>
      </c>
      <c r="S713" s="4">
        <v>0</v>
      </c>
      <c r="T713" s="23">
        <v>4.03</v>
      </c>
      <c r="U713" s="23">
        <v>4.03</v>
      </c>
      <c r="V713" s="5" t="s">
        <v>3843</v>
      </c>
      <c r="W713" s="4">
        <v>17072</v>
      </c>
      <c r="X713" s="4">
        <v>100750</v>
      </c>
      <c r="Y713" s="11">
        <v>43768</v>
      </c>
      <c r="Z713" s="11">
        <v>47056</v>
      </c>
      <c r="AA713" s="2"/>
      <c r="AB713" s="63" t="s">
        <v>1684</v>
      </c>
      <c r="AC713" s="5" t="s">
        <v>3</v>
      </c>
      <c r="AD713" s="2"/>
      <c r="AE713" s="6"/>
      <c r="AF713" s="23"/>
      <c r="AG713" s="6"/>
      <c r="AH713" s="5" t="s">
        <v>4338</v>
      </c>
      <c r="AI713" s="5" t="s">
        <v>3423</v>
      </c>
      <c r="AJ713" s="5" t="s">
        <v>3</v>
      </c>
      <c r="AK713" s="16" t="s">
        <v>3</v>
      </c>
      <c r="AL713" s="65" t="s">
        <v>3842</v>
      </c>
      <c r="AM713" s="31" t="s">
        <v>1438</v>
      </c>
    </row>
    <row r="714" spans="2:39" x14ac:dyDescent="0.25">
      <c r="B714" s="18" t="s">
        <v>2563</v>
      </c>
      <c r="C714" s="44" t="s">
        <v>1827</v>
      </c>
      <c r="D714" s="20" t="s">
        <v>1246</v>
      </c>
      <c r="E714" s="67" t="s">
        <v>3</v>
      </c>
      <c r="F714" s="51" t="s">
        <v>1157</v>
      </c>
      <c r="G714" s="37" t="s">
        <v>3842</v>
      </c>
      <c r="H714" s="68" t="s">
        <v>2715</v>
      </c>
      <c r="I714" s="62" t="s">
        <v>1358</v>
      </c>
      <c r="J714" s="61" t="s">
        <v>250</v>
      </c>
      <c r="K714" s="4">
        <v>6995310</v>
      </c>
      <c r="L714" s="39">
        <v>101.59099999999999</v>
      </c>
      <c r="M714" s="4">
        <v>7111370</v>
      </c>
      <c r="N714" s="4">
        <v>7000000</v>
      </c>
      <c r="O714" s="4">
        <v>6995768</v>
      </c>
      <c r="P714" s="4">
        <v>0</v>
      </c>
      <c r="Q714" s="4">
        <v>458</v>
      </c>
      <c r="R714" s="4">
        <v>0</v>
      </c>
      <c r="S714" s="4">
        <v>0</v>
      </c>
      <c r="T714" s="23">
        <v>1.4</v>
      </c>
      <c r="U714" s="23">
        <v>1.4139999999999999</v>
      </c>
      <c r="V714" s="5" t="s">
        <v>1982</v>
      </c>
      <c r="W714" s="4">
        <v>49000</v>
      </c>
      <c r="X714" s="4">
        <v>0</v>
      </c>
      <c r="Y714" s="11">
        <v>44006</v>
      </c>
      <c r="Z714" s="11">
        <v>46204</v>
      </c>
      <c r="AA714" s="2"/>
      <c r="AB714" s="63" t="s">
        <v>3840</v>
      </c>
      <c r="AC714" s="5" t="s">
        <v>4198</v>
      </c>
      <c r="AD714" s="2"/>
      <c r="AE714" s="10">
        <v>45839</v>
      </c>
      <c r="AF714" s="23">
        <v>100</v>
      </c>
      <c r="AG714" s="10">
        <v>45839</v>
      </c>
      <c r="AH714" s="5" t="s">
        <v>3</v>
      </c>
      <c r="AI714" s="5" t="s">
        <v>721</v>
      </c>
      <c r="AJ714" s="5" t="s">
        <v>928</v>
      </c>
      <c r="AK714" s="16" t="s">
        <v>3</v>
      </c>
      <c r="AL714" s="65" t="s">
        <v>3842</v>
      </c>
      <c r="AM714" s="31" t="s">
        <v>559</v>
      </c>
    </row>
    <row r="715" spans="2:39" x14ac:dyDescent="0.25">
      <c r="B715" s="18" t="s">
        <v>4025</v>
      </c>
      <c r="C715" s="44" t="s">
        <v>3673</v>
      </c>
      <c r="D715" s="20" t="s">
        <v>1246</v>
      </c>
      <c r="E715" s="67" t="s">
        <v>3</v>
      </c>
      <c r="F715" s="51" t="s">
        <v>2218</v>
      </c>
      <c r="G715" s="37" t="s">
        <v>3</v>
      </c>
      <c r="H715" s="68" t="s">
        <v>2715</v>
      </c>
      <c r="I715" s="62" t="s">
        <v>1358</v>
      </c>
      <c r="J715" s="61" t="s">
        <v>250</v>
      </c>
      <c r="K715" s="4">
        <v>2493600</v>
      </c>
      <c r="L715" s="39">
        <v>117.369</v>
      </c>
      <c r="M715" s="4">
        <v>2934225</v>
      </c>
      <c r="N715" s="4">
        <v>2500000</v>
      </c>
      <c r="O715" s="4">
        <v>2495466</v>
      </c>
      <c r="P715" s="4">
        <v>0</v>
      </c>
      <c r="Q715" s="4">
        <v>786</v>
      </c>
      <c r="R715" s="4">
        <v>0</v>
      </c>
      <c r="S715" s="4">
        <v>0</v>
      </c>
      <c r="T715" s="23">
        <v>4.625</v>
      </c>
      <c r="U715" s="23">
        <v>4.6660000000000004</v>
      </c>
      <c r="V715" s="5" t="s">
        <v>1982</v>
      </c>
      <c r="W715" s="4">
        <v>56207</v>
      </c>
      <c r="X715" s="4">
        <v>115625</v>
      </c>
      <c r="Y715" s="11">
        <v>43412</v>
      </c>
      <c r="Z715" s="11">
        <v>46028</v>
      </c>
      <c r="AA715" s="2"/>
      <c r="AB715" s="63" t="s">
        <v>3840</v>
      </c>
      <c r="AC715" s="5" t="s">
        <v>4198</v>
      </c>
      <c r="AD715" s="2"/>
      <c r="AE715" s="6"/>
      <c r="AF715" s="23"/>
      <c r="AG715" s="6"/>
      <c r="AH715" s="5" t="s">
        <v>3</v>
      </c>
      <c r="AI715" s="5" t="s">
        <v>721</v>
      </c>
      <c r="AJ715" s="5" t="s">
        <v>928</v>
      </c>
      <c r="AK715" s="16" t="s">
        <v>3</v>
      </c>
      <c r="AL715" s="65" t="s">
        <v>3842</v>
      </c>
      <c r="AM715" s="31" t="s">
        <v>559</v>
      </c>
    </row>
    <row r="716" spans="2:39" x14ac:dyDescent="0.25">
      <c r="B716" s="18" t="s">
        <v>722</v>
      </c>
      <c r="C716" s="44" t="s">
        <v>407</v>
      </c>
      <c r="D716" s="20" t="s">
        <v>1828</v>
      </c>
      <c r="E716" s="67" t="s">
        <v>3</v>
      </c>
      <c r="F716" s="51" t="s">
        <v>2218</v>
      </c>
      <c r="G716" s="37" t="s">
        <v>2715</v>
      </c>
      <c r="H716" s="68" t="s">
        <v>3842</v>
      </c>
      <c r="I716" s="62" t="s">
        <v>10</v>
      </c>
      <c r="J716" s="61" t="s">
        <v>250</v>
      </c>
      <c r="K716" s="4">
        <v>4599846</v>
      </c>
      <c r="L716" s="39">
        <v>101.827</v>
      </c>
      <c r="M716" s="4">
        <v>4605635</v>
      </c>
      <c r="N716" s="4">
        <v>4523000</v>
      </c>
      <c r="O716" s="4">
        <v>4544806</v>
      </c>
      <c r="P716" s="4">
        <v>0</v>
      </c>
      <c r="Q716" s="4">
        <v>-31695</v>
      </c>
      <c r="R716" s="4">
        <v>0</v>
      </c>
      <c r="S716" s="4">
        <v>0</v>
      </c>
      <c r="T716" s="23">
        <v>3.75</v>
      </c>
      <c r="U716" s="23">
        <v>3.0190000000000001</v>
      </c>
      <c r="V716" s="5" t="s">
        <v>3844</v>
      </c>
      <c r="W716" s="4">
        <v>14134</v>
      </c>
      <c r="X716" s="4">
        <v>169612</v>
      </c>
      <c r="Y716" s="11">
        <v>43551</v>
      </c>
      <c r="Z716" s="11">
        <v>44531</v>
      </c>
      <c r="AA716" s="2"/>
      <c r="AB716" s="63" t="s">
        <v>3840</v>
      </c>
      <c r="AC716" s="5" t="s">
        <v>9</v>
      </c>
      <c r="AD716" s="2"/>
      <c r="AE716" s="10">
        <v>44440</v>
      </c>
      <c r="AF716" s="23">
        <v>100</v>
      </c>
      <c r="AG716" s="10">
        <v>44440</v>
      </c>
      <c r="AH716" s="5" t="s">
        <v>3</v>
      </c>
      <c r="AI716" s="5" t="s">
        <v>3674</v>
      </c>
      <c r="AJ716" s="5" t="s">
        <v>1829</v>
      </c>
      <c r="AK716" s="16" t="s">
        <v>3</v>
      </c>
      <c r="AL716" s="65" t="s">
        <v>3842</v>
      </c>
      <c r="AM716" s="31" t="s">
        <v>1176</v>
      </c>
    </row>
    <row r="717" spans="2:39" x14ac:dyDescent="0.25">
      <c r="B717" s="18" t="s">
        <v>1830</v>
      </c>
      <c r="C717" s="44" t="s">
        <v>408</v>
      </c>
      <c r="D717" s="20" t="s">
        <v>723</v>
      </c>
      <c r="E717" s="67" t="s">
        <v>3</v>
      </c>
      <c r="F717" s="51" t="s">
        <v>2218</v>
      </c>
      <c r="G717" s="37" t="s">
        <v>3</v>
      </c>
      <c r="H717" s="68" t="s">
        <v>3842</v>
      </c>
      <c r="I717" s="62" t="s">
        <v>3310</v>
      </c>
      <c r="J717" s="61" t="s">
        <v>250</v>
      </c>
      <c r="K717" s="4">
        <v>7177000</v>
      </c>
      <c r="L717" s="39">
        <v>107.816</v>
      </c>
      <c r="M717" s="4">
        <v>7547120</v>
      </c>
      <c r="N717" s="4">
        <v>7000000</v>
      </c>
      <c r="O717" s="4">
        <v>7081805</v>
      </c>
      <c r="P717" s="4">
        <v>0</v>
      </c>
      <c r="Q717" s="4">
        <v>-23384</v>
      </c>
      <c r="R717" s="4">
        <v>0</v>
      </c>
      <c r="S717" s="4">
        <v>0</v>
      </c>
      <c r="T717" s="23">
        <v>3.8</v>
      </c>
      <c r="U717" s="23">
        <v>3.4180000000000001</v>
      </c>
      <c r="V717" s="5" t="s">
        <v>3843</v>
      </c>
      <c r="W717" s="4">
        <v>61328</v>
      </c>
      <c r="X717" s="4">
        <v>266000</v>
      </c>
      <c r="Y717" s="11">
        <v>42853</v>
      </c>
      <c r="Z717" s="11">
        <v>45390</v>
      </c>
      <c r="AA717" s="2"/>
      <c r="AB717" s="63" t="s">
        <v>3840</v>
      </c>
      <c r="AC717" s="5" t="s">
        <v>9</v>
      </c>
      <c r="AD717" s="2"/>
      <c r="AE717" s="6"/>
      <c r="AF717" s="23"/>
      <c r="AG717" s="6"/>
      <c r="AH717" s="5" t="s">
        <v>3</v>
      </c>
      <c r="AI717" s="5" t="s">
        <v>131</v>
      </c>
      <c r="AJ717" s="5" t="s">
        <v>2564</v>
      </c>
      <c r="AK717" s="16" t="s">
        <v>3</v>
      </c>
      <c r="AL717" s="65" t="s">
        <v>3842</v>
      </c>
      <c r="AM717" s="31" t="s">
        <v>1651</v>
      </c>
    </row>
    <row r="718" spans="2:39" x14ac:dyDescent="0.25">
      <c r="B718" s="18" t="s">
        <v>2912</v>
      </c>
      <c r="C718" s="44" t="s">
        <v>2913</v>
      </c>
      <c r="D718" s="20" t="s">
        <v>2318</v>
      </c>
      <c r="E718" s="67" t="s">
        <v>3</v>
      </c>
      <c r="F718" s="51" t="s">
        <v>2218</v>
      </c>
      <c r="G718" s="37" t="s">
        <v>2715</v>
      </c>
      <c r="H718" s="68" t="s">
        <v>3842</v>
      </c>
      <c r="I718" s="62" t="s">
        <v>3310</v>
      </c>
      <c r="J718" s="61" t="s">
        <v>250</v>
      </c>
      <c r="K718" s="4">
        <v>4885035</v>
      </c>
      <c r="L718" s="39">
        <v>107.453</v>
      </c>
      <c r="M718" s="4">
        <v>5372650</v>
      </c>
      <c r="N718" s="4">
        <v>5000000</v>
      </c>
      <c r="O718" s="4">
        <v>4918081</v>
      </c>
      <c r="P718" s="4">
        <v>0</v>
      </c>
      <c r="Q718" s="4">
        <v>17545</v>
      </c>
      <c r="R718" s="4">
        <v>0</v>
      </c>
      <c r="S718" s="4">
        <v>0</v>
      </c>
      <c r="T718" s="23">
        <v>3.25</v>
      </c>
      <c r="U718" s="23">
        <v>3.6720000000000002</v>
      </c>
      <c r="V718" s="5" t="s">
        <v>12</v>
      </c>
      <c r="W718" s="4">
        <v>49201</v>
      </c>
      <c r="X718" s="4">
        <v>162500</v>
      </c>
      <c r="Y718" s="11">
        <v>43553</v>
      </c>
      <c r="Z718" s="11">
        <v>45728</v>
      </c>
      <c r="AA718" s="2"/>
      <c r="AB718" s="63" t="s">
        <v>3840</v>
      </c>
      <c r="AC718" s="5" t="s">
        <v>9</v>
      </c>
      <c r="AD718" s="2"/>
      <c r="AE718" s="6"/>
      <c r="AF718" s="23"/>
      <c r="AG718" s="6"/>
      <c r="AH718" s="5" t="s">
        <v>3</v>
      </c>
      <c r="AI718" s="5" t="s">
        <v>131</v>
      </c>
      <c r="AJ718" s="5" t="s">
        <v>928</v>
      </c>
      <c r="AK718" s="16" t="s">
        <v>3</v>
      </c>
      <c r="AL718" s="65" t="s">
        <v>3842</v>
      </c>
      <c r="AM718" s="31" t="s">
        <v>1651</v>
      </c>
    </row>
    <row r="719" spans="2:39" x14ac:dyDescent="0.25">
      <c r="B719" s="18" t="s">
        <v>4026</v>
      </c>
      <c r="C719" s="44" t="s">
        <v>2115</v>
      </c>
      <c r="D719" s="20" t="s">
        <v>724</v>
      </c>
      <c r="E719" s="67" t="s">
        <v>3</v>
      </c>
      <c r="F719" s="51" t="s">
        <v>2218</v>
      </c>
      <c r="G719" s="37" t="s">
        <v>3842</v>
      </c>
      <c r="H719" s="68" t="s">
        <v>2715</v>
      </c>
      <c r="I719" s="62" t="s">
        <v>1358</v>
      </c>
      <c r="J719" s="61" t="s">
        <v>250</v>
      </c>
      <c r="K719" s="4">
        <v>16757967</v>
      </c>
      <c r="L719" s="39">
        <v>105.72</v>
      </c>
      <c r="M719" s="4">
        <v>17655240</v>
      </c>
      <c r="N719" s="4">
        <v>16700000</v>
      </c>
      <c r="O719" s="4">
        <v>16748183</v>
      </c>
      <c r="P719" s="4">
        <v>0</v>
      </c>
      <c r="Q719" s="4">
        <v>-9784</v>
      </c>
      <c r="R719" s="4">
        <v>0</v>
      </c>
      <c r="S719" s="4">
        <v>0</v>
      </c>
      <c r="T719" s="23">
        <v>2.4380000000000002</v>
      </c>
      <c r="U719" s="23">
        <v>2.3639999999999999</v>
      </c>
      <c r="V719" s="5" t="s">
        <v>248</v>
      </c>
      <c r="W719" s="4">
        <v>165120</v>
      </c>
      <c r="X719" s="4">
        <v>203573</v>
      </c>
      <c r="Y719" s="11">
        <v>43873</v>
      </c>
      <c r="Z719" s="11">
        <v>46058</v>
      </c>
      <c r="AA719" s="2"/>
      <c r="AB719" s="63" t="s">
        <v>3840</v>
      </c>
      <c r="AC719" s="5" t="s">
        <v>4198</v>
      </c>
      <c r="AD719" s="2"/>
      <c r="AE719" s="10">
        <v>45693</v>
      </c>
      <c r="AF719" s="23">
        <v>100</v>
      </c>
      <c r="AG719" s="10">
        <v>45693</v>
      </c>
      <c r="AH719" s="5" t="s">
        <v>2116</v>
      </c>
      <c r="AI719" s="5" t="s">
        <v>724</v>
      </c>
      <c r="AJ719" s="5" t="s">
        <v>3</v>
      </c>
      <c r="AK719" s="16" t="s">
        <v>3</v>
      </c>
      <c r="AL719" s="65" t="s">
        <v>3842</v>
      </c>
      <c r="AM719" s="31" t="s">
        <v>559</v>
      </c>
    </row>
    <row r="720" spans="2:39" x14ac:dyDescent="0.25">
      <c r="B720" s="18" t="s">
        <v>725</v>
      </c>
      <c r="C720" s="44" t="s">
        <v>3424</v>
      </c>
      <c r="D720" s="20" t="s">
        <v>724</v>
      </c>
      <c r="E720" s="67" t="s">
        <v>3</v>
      </c>
      <c r="F720" s="51" t="s">
        <v>2218</v>
      </c>
      <c r="G720" s="37" t="s">
        <v>3</v>
      </c>
      <c r="H720" s="68" t="s">
        <v>2715</v>
      </c>
      <c r="I720" s="62" t="s">
        <v>1358</v>
      </c>
      <c r="J720" s="61" t="s">
        <v>250</v>
      </c>
      <c r="K720" s="4">
        <v>2995560</v>
      </c>
      <c r="L720" s="39">
        <v>109.845</v>
      </c>
      <c r="M720" s="4">
        <v>3295350</v>
      </c>
      <c r="N720" s="4">
        <v>3000000</v>
      </c>
      <c r="O720" s="4">
        <v>2997063</v>
      </c>
      <c r="P720" s="4">
        <v>0</v>
      </c>
      <c r="Q720" s="4">
        <v>846</v>
      </c>
      <c r="R720" s="4">
        <v>0</v>
      </c>
      <c r="S720" s="4">
        <v>0</v>
      </c>
      <c r="T720" s="23">
        <v>3.9</v>
      </c>
      <c r="U720" s="23">
        <v>3.9329999999999998</v>
      </c>
      <c r="V720" s="5" t="s">
        <v>12</v>
      </c>
      <c r="W720" s="4">
        <v>35425</v>
      </c>
      <c r="X720" s="4">
        <v>117000</v>
      </c>
      <c r="Y720" s="11">
        <v>43529</v>
      </c>
      <c r="Z720" s="11">
        <v>45363</v>
      </c>
      <c r="AA720" s="2"/>
      <c r="AB720" s="63" t="s">
        <v>3840</v>
      </c>
      <c r="AC720" s="5" t="s">
        <v>4198</v>
      </c>
      <c r="AD720" s="2"/>
      <c r="AE720" s="6"/>
      <c r="AF720" s="23"/>
      <c r="AG720" s="6"/>
      <c r="AH720" s="5" t="s">
        <v>2116</v>
      </c>
      <c r="AI720" s="5" t="s">
        <v>724</v>
      </c>
      <c r="AJ720" s="5" t="s">
        <v>3</v>
      </c>
      <c r="AK720" s="16" t="s">
        <v>3</v>
      </c>
      <c r="AL720" s="65" t="s">
        <v>3842</v>
      </c>
      <c r="AM720" s="31" t="s">
        <v>559</v>
      </c>
    </row>
    <row r="721" spans="2:39" x14ac:dyDescent="0.25">
      <c r="B721" s="18" t="s">
        <v>1831</v>
      </c>
      <c r="C721" s="44" t="s">
        <v>3206</v>
      </c>
      <c r="D721" s="20" t="s">
        <v>4339</v>
      </c>
      <c r="E721" s="67" t="s">
        <v>3</v>
      </c>
      <c r="F721" s="51" t="s">
        <v>2218</v>
      </c>
      <c r="G721" s="37" t="s">
        <v>2715</v>
      </c>
      <c r="H721" s="68" t="s">
        <v>3842</v>
      </c>
      <c r="I721" s="62" t="s">
        <v>1157</v>
      </c>
      <c r="J721" s="61" t="s">
        <v>250</v>
      </c>
      <c r="K721" s="4">
        <v>1995900</v>
      </c>
      <c r="L721" s="39">
        <v>108.267</v>
      </c>
      <c r="M721" s="4">
        <v>2165340</v>
      </c>
      <c r="N721" s="4">
        <v>2000000</v>
      </c>
      <c r="O721" s="4">
        <v>1997863</v>
      </c>
      <c r="P721" s="4">
        <v>0</v>
      </c>
      <c r="Q721" s="4">
        <v>802</v>
      </c>
      <c r="R721" s="4">
        <v>0</v>
      </c>
      <c r="S721" s="4">
        <v>0</v>
      </c>
      <c r="T721" s="23">
        <v>4.2</v>
      </c>
      <c r="U721" s="23">
        <v>4.2460000000000004</v>
      </c>
      <c r="V721" s="5" t="s">
        <v>3844</v>
      </c>
      <c r="W721" s="4">
        <v>2100</v>
      </c>
      <c r="X721" s="4">
        <v>84000</v>
      </c>
      <c r="Y721" s="11">
        <v>43271</v>
      </c>
      <c r="Z721" s="11">
        <v>45099</v>
      </c>
      <c r="AA721" s="2"/>
      <c r="AB721" s="63" t="s">
        <v>3840</v>
      </c>
      <c r="AC721" s="5" t="s">
        <v>4198</v>
      </c>
      <c r="AD721" s="2"/>
      <c r="AE721" s="10">
        <v>45068</v>
      </c>
      <c r="AF721" s="23">
        <v>100</v>
      </c>
      <c r="AG721" s="6"/>
      <c r="AH721" s="5" t="s">
        <v>2565</v>
      </c>
      <c r="AI721" s="5" t="s">
        <v>1832</v>
      </c>
      <c r="AJ721" s="5" t="s">
        <v>1049</v>
      </c>
      <c r="AK721" s="16" t="s">
        <v>3</v>
      </c>
      <c r="AL721" s="65" t="s">
        <v>3842</v>
      </c>
      <c r="AM721" s="31" t="s">
        <v>926</v>
      </c>
    </row>
    <row r="722" spans="2:39" x14ac:dyDescent="0.25">
      <c r="B722" s="18" t="s">
        <v>2914</v>
      </c>
      <c r="C722" s="44" t="s">
        <v>2117</v>
      </c>
      <c r="D722" s="20" t="s">
        <v>4027</v>
      </c>
      <c r="E722" s="67" t="s">
        <v>3</v>
      </c>
      <c r="F722" s="51" t="s">
        <v>1157</v>
      </c>
      <c r="G722" s="37" t="s">
        <v>3</v>
      </c>
      <c r="H722" s="68" t="s">
        <v>2715</v>
      </c>
      <c r="I722" s="62" t="s">
        <v>1358</v>
      </c>
      <c r="J722" s="61" t="s">
        <v>250</v>
      </c>
      <c r="K722" s="4">
        <v>2006820</v>
      </c>
      <c r="L722" s="39">
        <v>102.97499999999999</v>
      </c>
      <c r="M722" s="4">
        <v>2059500</v>
      </c>
      <c r="N722" s="4">
        <v>2000000</v>
      </c>
      <c r="O722" s="4">
        <v>2002767</v>
      </c>
      <c r="P722" s="4">
        <v>0</v>
      </c>
      <c r="Q722" s="4">
        <v>-2352</v>
      </c>
      <c r="R722" s="4">
        <v>0</v>
      </c>
      <c r="S722" s="4">
        <v>0</v>
      </c>
      <c r="T722" s="23">
        <v>2.9980000000000002</v>
      </c>
      <c r="U722" s="23">
        <v>2.8740000000000001</v>
      </c>
      <c r="V722" s="5" t="s">
        <v>248</v>
      </c>
      <c r="W722" s="4">
        <v>21486</v>
      </c>
      <c r="X722" s="4">
        <v>59960</v>
      </c>
      <c r="Y722" s="11">
        <v>43553</v>
      </c>
      <c r="Z722" s="11">
        <v>44614</v>
      </c>
      <c r="AA722" s="2"/>
      <c r="AB722" s="63" t="s">
        <v>3840</v>
      </c>
      <c r="AC722" s="5" t="s">
        <v>4198</v>
      </c>
      <c r="AD722" s="2"/>
      <c r="AE722" s="6"/>
      <c r="AF722" s="23"/>
      <c r="AG722" s="6"/>
      <c r="AH722" s="5" t="s">
        <v>3</v>
      </c>
      <c r="AI722" s="5" t="s">
        <v>2118</v>
      </c>
      <c r="AJ722" s="5" t="s">
        <v>2118</v>
      </c>
      <c r="AK722" s="16" t="s">
        <v>3</v>
      </c>
      <c r="AL722" s="65" t="s">
        <v>3842</v>
      </c>
      <c r="AM722" s="31" t="s">
        <v>559</v>
      </c>
    </row>
    <row r="723" spans="2:39" x14ac:dyDescent="0.25">
      <c r="B723" s="18" t="s">
        <v>4028</v>
      </c>
      <c r="C723" s="44" t="s">
        <v>1475</v>
      </c>
      <c r="D723" s="20" t="s">
        <v>4027</v>
      </c>
      <c r="E723" s="67" t="s">
        <v>3</v>
      </c>
      <c r="F723" s="51" t="s">
        <v>1157</v>
      </c>
      <c r="G723" s="37" t="s">
        <v>3</v>
      </c>
      <c r="H723" s="68" t="s">
        <v>2715</v>
      </c>
      <c r="I723" s="62" t="s">
        <v>1358</v>
      </c>
      <c r="J723" s="61" t="s">
        <v>250</v>
      </c>
      <c r="K723" s="4">
        <v>3000000</v>
      </c>
      <c r="L723" s="39">
        <v>102.733</v>
      </c>
      <c r="M723" s="4">
        <v>3081990</v>
      </c>
      <c r="N723" s="4">
        <v>3000000</v>
      </c>
      <c r="O723" s="4">
        <v>3000000</v>
      </c>
      <c r="P723" s="4">
        <v>0</v>
      </c>
      <c r="Q723" s="4">
        <v>0</v>
      </c>
      <c r="R723" s="4">
        <v>0</v>
      </c>
      <c r="S723" s="4">
        <v>0</v>
      </c>
      <c r="T723" s="23">
        <v>1.4119999999999999</v>
      </c>
      <c r="U723" s="23">
        <v>1.4119999999999999</v>
      </c>
      <c r="V723" s="5" t="s">
        <v>1982</v>
      </c>
      <c r="W723" s="4">
        <v>19297</v>
      </c>
      <c r="X723" s="4">
        <v>0</v>
      </c>
      <c r="Y723" s="11">
        <v>44025</v>
      </c>
      <c r="Z723" s="11">
        <v>45855</v>
      </c>
      <c r="AA723" s="2"/>
      <c r="AB723" s="63" t="s">
        <v>3840</v>
      </c>
      <c r="AC723" s="5" t="s">
        <v>4198</v>
      </c>
      <c r="AD723" s="2"/>
      <c r="AE723" s="6"/>
      <c r="AF723" s="23"/>
      <c r="AG723" s="6"/>
      <c r="AH723" s="5" t="s">
        <v>3</v>
      </c>
      <c r="AI723" s="5" t="s">
        <v>2118</v>
      </c>
      <c r="AJ723" s="5" t="s">
        <v>2118</v>
      </c>
      <c r="AK723" s="16" t="s">
        <v>3</v>
      </c>
      <c r="AL723" s="65" t="s">
        <v>3842</v>
      </c>
      <c r="AM723" s="31" t="s">
        <v>559</v>
      </c>
    </row>
    <row r="724" spans="2:39" x14ac:dyDescent="0.25">
      <c r="B724" s="18" t="s">
        <v>1833</v>
      </c>
      <c r="C724" s="44" t="s">
        <v>2119</v>
      </c>
      <c r="D724" s="20" t="s">
        <v>2566</v>
      </c>
      <c r="E724" s="67" t="s">
        <v>3</v>
      </c>
      <c r="F724" s="51" t="s">
        <v>1157</v>
      </c>
      <c r="G724" s="37" t="s">
        <v>3</v>
      </c>
      <c r="H724" s="68" t="s">
        <v>2715</v>
      </c>
      <c r="I724" s="62" t="s">
        <v>1358</v>
      </c>
      <c r="J724" s="61" t="s">
        <v>250</v>
      </c>
      <c r="K724" s="4">
        <v>5000000</v>
      </c>
      <c r="L724" s="39">
        <v>103.76300000000001</v>
      </c>
      <c r="M724" s="4">
        <v>5188150</v>
      </c>
      <c r="N724" s="4">
        <v>5000000</v>
      </c>
      <c r="O724" s="4">
        <v>5000000</v>
      </c>
      <c r="P724" s="4">
        <v>0</v>
      </c>
      <c r="Q724" s="4">
        <v>0</v>
      </c>
      <c r="R724" s="4">
        <v>0</v>
      </c>
      <c r="S724" s="4">
        <v>0</v>
      </c>
      <c r="T724" s="23">
        <v>2.601</v>
      </c>
      <c r="U724" s="23">
        <v>2.601</v>
      </c>
      <c r="V724" s="5" t="s">
        <v>12</v>
      </c>
      <c r="W724" s="4">
        <v>39738</v>
      </c>
      <c r="X724" s="4">
        <v>130050</v>
      </c>
      <c r="Y724" s="10">
        <v>42984</v>
      </c>
      <c r="Z724" s="10">
        <v>44815</v>
      </c>
      <c r="AA724" s="2"/>
      <c r="AB724" s="63" t="s">
        <v>3840</v>
      </c>
      <c r="AC724" s="5" t="s">
        <v>4198</v>
      </c>
      <c r="AD724" s="2"/>
      <c r="AE724" s="6"/>
      <c r="AF724" s="23"/>
      <c r="AG724" s="6"/>
      <c r="AH724" s="5" t="s">
        <v>3</v>
      </c>
      <c r="AI724" s="5" t="s">
        <v>2566</v>
      </c>
      <c r="AJ724" s="5" t="s">
        <v>3</v>
      </c>
      <c r="AK724" s="16" t="s">
        <v>3</v>
      </c>
      <c r="AL724" s="65" t="s">
        <v>3842</v>
      </c>
      <c r="AM724" s="31" t="s">
        <v>559</v>
      </c>
    </row>
    <row r="725" spans="2:39" x14ac:dyDescent="0.25">
      <c r="B725" s="18" t="s">
        <v>2915</v>
      </c>
      <c r="C725" s="44" t="s">
        <v>4029</v>
      </c>
      <c r="D725" s="20" t="s">
        <v>2566</v>
      </c>
      <c r="E725" s="67" t="s">
        <v>3</v>
      </c>
      <c r="F725" s="51" t="s">
        <v>1157</v>
      </c>
      <c r="G725" s="37" t="s">
        <v>3842</v>
      </c>
      <c r="H725" s="68" t="s">
        <v>2715</v>
      </c>
      <c r="I725" s="62" t="s">
        <v>1358</v>
      </c>
      <c r="J725" s="61" t="s">
        <v>250</v>
      </c>
      <c r="K725" s="4">
        <v>2500000</v>
      </c>
      <c r="L725" s="39">
        <v>101.678</v>
      </c>
      <c r="M725" s="4">
        <v>2541950</v>
      </c>
      <c r="N725" s="4">
        <v>2500000</v>
      </c>
      <c r="O725" s="4">
        <v>2500000</v>
      </c>
      <c r="P725" s="4">
        <v>0</v>
      </c>
      <c r="Q725" s="4">
        <v>0</v>
      </c>
      <c r="R725" s="4">
        <v>0</v>
      </c>
      <c r="S725" s="4">
        <v>0</v>
      </c>
      <c r="T725" s="23">
        <v>1.2410000000000001</v>
      </c>
      <c r="U725" s="23">
        <v>1.2410000000000001</v>
      </c>
      <c r="V725" s="5" t="s">
        <v>1982</v>
      </c>
      <c r="W725" s="4">
        <v>14737</v>
      </c>
      <c r="X725" s="4">
        <v>0</v>
      </c>
      <c r="Y725" s="10">
        <v>44018</v>
      </c>
      <c r="Z725" s="10">
        <v>45483</v>
      </c>
      <c r="AA725" s="2"/>
      <c r="AB725" s="63" t="s">
        <v>3840</v>
      </c>
      <c r="AC725" s="5" t="s">
        <v>4198</v>
      </c>
      <c r="AD725" s="2"/>
      <c r="AE725" s="10">
        <v>45117</v>
      </c>
      <c r="AF725" s="23">
        <v>100</v>
      </c>
      <c r="AG725" s="6"/>
      <c r="AH725" s="5" t="s">
        <v>3</v>
      </c>
      <c r="AI725" s="5" t="s">
        <v>2566</v>
      </c>
      <c r="AJ725" s="5" t="s">
        <v>3</v>
      </c>
      <c r="AK725" s="16" t="s">
        <v>3</v>
      </c>
      <c r="AL725" s="65" t="s">
        <v>3842</v>
      </c>
      <c r="AM725" s="31" t="s">
        <v>559</v>
      </c>
    </row>
    <row r="726" spans="2:39" x14ac:dyDescent="0.25">
      <c r="B726" s="18" t="s">
        <v>4030</v>
      </c>
      <c r="C726" s="44" t="s">
        <v>726</v>
      </c>
      <c r="D726" s="20" t="s">
        <v>727</v>
      </c>
      <c r="E726" s="67" t="s">
        <v>3</v>
      </c>
      <c r="F726" s="51" t="s">
        <v>2218</v>
      </c>
      <c r="G726" s="37" t="s">
        <v>2715</v>
      </c>
      <c r="H726" s="68" t="s">
        <v>3842</v>
      </c>
      <c r="I726" s="62" t="s">
        <v>1157</v>
      </c>
      <c r="J726" s="61" t="s">
        <v>250</v>
      </c>
      <c r="K726" s="4">
        <v>5110870</v>
      </c>
      <c r="L726" s="39">
        <v>112.871</v>
      </c>
      <c r="M726" s="4">
        <v>5643550</v>
      </c>
      <c r="N726" s="4">
        <v>5000000</v>
      </c>
      <c r="O726" s="4">
        <v>5072771</v>
      </c>
      <c r="P726" s="4">
        <v>0</v>
      </c>
      <c r="Q726" s="4">
        <v>-21956</v>
      </c>
      <c r="R726" s="4">
        <v>0</v>
      </c>
      <c r="S726" s="4">
        <v>0</v>
      </c>
      <c r="T726" s="23">
        <v>4.875</v>
      </c>
      <c r="U726" s="23">
        <v>4.3609999999999998</v>
      </c>
      <c r="V726" s="5" t="s">
        <v>12</v>
      </c>
      <c r="W726" s="4">
        <v>81250</v>
      </c>
      <c r="X726" s="4">
        <v>243750</v>
      </c>
      <c r="Y726" s="10">
        <v>43553</v>
      </c>
      <c r="Z726" s="10">
        <v>45352</v>
      </c>
      <c r="AA726" s="2"/>
      <c r="AB726" s="63" t="s">
        <v>3840</v>
      </c>
      <c r="AC726" s="5" t="s">
        <v>4198</v>
      </c>
      <c r="AD726" s="2"/>
      <c r="AE726" s="10">
        <v>45323</v>
      </c>
      <c r="AF726" s="23">
        <v>100</v>
      </c>
      <c r="AG726" s="10">
        <v>45323</v>
      </c>
      <c r="AH726" s="5" t="s">
        <v>3</v>
      </c>
      <c r="AI726" s="5" t="s">
        <v>1834</v>
      </c>
      <c r="AJ726" s="5" t="s">
        <v>928</v>
      </c>
      <c r="AK726" s="16" t="s">
        <v>3</v>
      </c>
      <c r="AL726" s="65" t="s">
        <v>3842</v>
      </c>
      <c r="AM726" s="31" t="s">
        <v>926</v>
      </c>
    </row>
    <row r="727" spans="2:39" x14ac:dyDescent="0.25">
      <c r="B727" s="18" t="s">
        <v>728</v>
      </c>
      <c r="C727" s="44" t="s">
        <v>2120</v>
      </c>
      <c r="D727" s="20" t="s">
        <v>2121</v>
      </c>
      <c r="E727" s="67" t="s">
        <v>3</v>
      </c>
      <c r="F727" s="51" t="s">
        <v>1157</v>
      </c>
      <c r="G727" s="37" t="s">
        <v>2715</v>
      </c>
      <c r="H727" s="68" t="s">
        <v>3842</v>
      </c>
      <c r="I727" s="62" t="s">
        <v>1157</v>
      </c>
      <c r="J727" s="61" t="s">
        <v>250</v>
      </c>
      <c r="K727" s="4">
        <v>4498380</v>
      </c>
      <c r="L727" s="39">
        <v>114.42700000000001</v>
      </c>
      <c r="M727" s="4">
        <v>5149215</v>
      </c>
      <c r="N727" s="4">
        <v>4500000</v>
      </c>
      <c r="O727" s="4">
        <v>4498699</v>
      </c>
      <c r="P727" s="4">
        <v>0</v>
      </c>
      <c r="Q727" s="4">
        <v>210</v>
      </c>
      <c r="R727" s="4">
        <v>0</v>
      </c>
      <c r="S727" s="4">
        <v>0</v>
      </c>
      <c r="T727" s="23">
        <v>3.875</v>
      </c>
      <c r="U727" s="23">
        <v>3.8809999999999998</v>
      </c>
      <c r="V727" s="5" t="s">
        <v>3844</v>
      </c>
      <c r="W727" s="4">
        <v>6297</v>
      </c>
      <c r="X727" s="4">
        <v>174374</v>
      </c>
      <c r="Y727" s="10">
        <v>43627</v>
      </c>
      <c r="Z727" s="10">
        <v>46191</v>
      </c>
      <c r="AA727" s="2"/>
      <c r="AB727" s="63" t="s">
        <v>3840</v>
      </c>
      <c r="AC727" s="5" t="s">
        <v>4198</v>
      </c>
      <c r="AD727" s="2"/>
      <c r="AE727" s="10">
        <v>46130</v>
      </c>
      <c r="AF727" s="23">
        <v>100</v>
      </c>
      <c r="AG727" s="6"/>
      <c r="AH727" s="5" t="s">
        <v>3</v>
      </c>
      <c r="AI727" s="5" t="s">
        <v>2916</v>
      </c>
      <c r="AJ727" s="5" t="s">
        <v>928</v>
      </c>
      <c r="AK727" s="16" t="s">
        <v>3</v>
      </c>
      <c r="AL727" s="65" t="s">
        <v>3842</v>
      </c>
      <c r="AM727" s="31" t="s">
        <v>926</v>
      </c>
    </row>
    <row r="728" spans="2:39" x14ac:dyDescent="0.25">
      <c r="B728" s="18" t="s">
        <v>1835</v>
      </c>
      <c r="C728" s="44" t="s">
        <v>1836</v>
      </c>
      <c r="D728" s="20" t="s">
        <v>2121</v>
      </c>
      <c r="E728" s="67" t="s">
        <v>3</v>
      </c>
      <c r="F728" s="51" t="s">
        <v>1157</v>
      </c>
      <c r="G728" s="37" t="s">
        <v>2715</v>
      </c>
      <c r="H728" s="68" t="s">
        <v>3842</v>
      </c>
      <c r="I728" s="62" t="s">
        <v>1157</v>
      </c>
      <c r="J728" s="61" t="s">
        <v>250</v>
      </c>
      <c r="K728" s="4">
        <v>3120810</v>
      </c>
      <c r="L728" s="39">
        <v>110.261</v>
      </c>
      <c r="M728" s="4">
        <v>3307830</v>
      </c>
      <c r="N728" s="4">
        <v>3000000</v>
      </c>
      <c r="O728" s="4">
        <v>3111357</v>
      </c>
      <c r="P728" s="4">
        <v>0</v>
      </c>
      <c r="Q728" s="4">
        <v>-9453</v>
      </c>
      <c r="R728" s="4">
        <v>0</v>
      </c>
      <c r="S728" s="4">
        <v>0</v>
      </c>
      <c r="T728" s="23">
        <v>3.15</v>
      </c>
      <c r="U728" s="23">
        <v>2.4969999999999999</v>
      </c>
      <c r="V728" s="5" t="s">
        <v>3312</v>
      </c>
      <c r="W728" s="4">
        <v>15750</v>
      </c>
      <c r="X728" s="4">
        <v>47250</v>
      </c>
      <c r="Y728" s="10">
        <v>43985</v>
      </c>
      <c r="Z728" s="10">
        <v>46508</v>
      </c>
      <c r="AA728" s="2"/>
      <c r="AB728" s="63" t="s">
        <v>3840</v>
      </c>
      <c r="AC728" s="5" t="s">
        <v>4198</v>
      </c>
      <c r="AD728" s="2"/>
      <c r="AE728" s="10">
        <v>46447</v>
      </c>
      <c r="AF728" s="23">
        <v>100</v>
      </c>
      <c r="AG728" s="10">
        <v>46447</v>
      </c>
      <c r="AH728" s="5" t="s">
        <v>3</v>
      </c>
      <c r="AI728" s="5" t="s">
        <v>2916</v>
      </c>
      <c r="AJ728" s="5" t="s">
        <v>928</v>
      </c>
      <c r="AK728" s="16" t="s">
        <v>3</v>
      </c>
      <c r="AL728" s="65" t="s">
        <v>3842</v>
      </c>
      <c r="AM728" s="31" t="s">
        <v>926</v>
      </c>
    </row>
    <row r="729" spans="2:39" x14ac:dyDescent="0.25">
      <c r="B729" s="18" t="s">
        <v>2917</v>
      </c>
      <c r="C729" s="44" t="s">
        <v>4031</v>
      </c>
      <c r="D729" s="20" t="s">
        <v>4340</v>
      </c>
      <c r="E729" s="67" t="s">
        <v>3</v>
      </c>
      <c r="F729" s="51" t="s">
        <v>1157</v>
      </c>
      <c r="G729" s="37" t="s">
        <v>3</v>
      </c>
      <c r="H729" s="68" t="s">
        <v>2715</v>
      </c>
      <c r="I729" s="62" t="s">
        <v>2218</v>
      </c>
      <c r="J729" s="61" t="s">
        <v>250</v>
      </c>
      <c r="K729" s="4">
        <v>972410</v>
      </c>
      <c r="L729" s="39">
        <v>112.60899999999999</v>
      </c>
      <c r="M729" s="4">
        <v>1126090</v>
      </c>
      <c r="N729" s="4">
        <v>1000000</v>
      </c>
      <c r="O729" s="4">
        <v>980712</v>
      </c>
      <c r="P729" s="4">
        <v>0</v>
      </c>
      <c r="Q729" s="4">
        <v>3414</v>
      </c>
      <c r="R729" s="4">
        <v>0</v>
      </c>
      <c r="S729" s="4">
        <v>0</v>
      </c>
      <c r="T729" s="23">
        <v>3.375</v>
      </c>
      <c r="U729" s="23">
        <v>3.7989999999999999</v>
      </c>
      <c r="V729" s="5" t="s">
        <v>1982</v>
      </c>
      <c r="W729" s="4">
        <v>15656</v>
      </c>
      <c r="X729" s="4">
        <v>33750</v>
      </c>
      <c r="Y729" s="11">
        <v>43278</v>
      </c>
      <c r="Z729" s="11">
        <v>46036</v>
      </c>
      <c r="AA729" s="2"/>
      <c r="AB729" s="63" t="s">
        <v>3840</v>
      </c>
      <c r="AC729" s="5" t="s">
        <v>4198</v>
      </c>
      <c r="AD729" s="2"/>
      <c r="AE729" s="6"/>
      <c r="AF729" s="23"/>
      <c r="AG729" s="9"/>
      <c r="AH729" s="5" t="s">
        <v>3</v>
      </c>
      <c r="AI729" s="5" t="s">
        <v>132</v>
      </c>
      <c r="AJ729" s="5" t="s">
        <v>132</v>
      </c>
      <c r="AK729" s="16" t="s">
        <v>3</v>
      </c>
      <c r="AL729" s="65" t="s">
        <v>3842</v>
      </c>
      <c r="AM729" s="31" t="s">
        <v>1351</v>
      </c>
    </row>
    <row r="730" spans="2:39" x14ac:dyDescent="0.25">
      <c r="B730" s="18" t="s">
        <v>4032</v>
      </c>
      <c r="C730" s="44" t="s">
        <v>729</v>
      </c>
      <c r="D730" s="20" t="s">
        <v>4341</v>
      </c>
      <c r="E730" s="67" t="s">
        <v>3</v>
      </c>
      <c r="F730" s="51" t="s">
        <v>1157</v>
      </c>
      <c r="G730" s="37" t="s">
        <v>3842</v>
      </c>
      <c r="H730" s="68" t="s">
        <v>2715</v>
      </c>
      <c r="I730" s="62" t="s">
        <v>1358</v>
      </c>
      <c r="J730" s="61" t="s">
        <v>250</v>
      </c>
      <c r="K730" s="4">
        <v>5000000</v>
      </c>
      <c r="L730" s="39">
        <v>102.084</v>
      </c>
      <c r="M730" s="4">
        <v>5104200</v>
      </c>
      <c r="N730" s="4">
        <v>5000000</v>
      </c>
      <c r="O730" s="4">
        <v>5000000</v>
      </c>
      <c r="P730" s="4">
        <v>0</v>
      </c>
      <c r="Q730" s="4">
        <v>0</v>
      </c>
      <c r="R730" s="4">
        <v>0</v>
      </c>
      <c r="S730" s="4">
        <v>0</v>
      </c>
      <c r="T730" s="23">
        <v>1.339</v>
      </c>
      <c r="U730" s="23">
        <v>1.339</v>
      </c>
      <c r="V730" s="5" t="s">
        <v>3844</v>
      </c>
      <c r="W730" s="4">
        <v>1302</v>
      </c>
      <c r="X730" s="4">
        <v>33474</v>
      </c>
      <c r="Y730" s="11">
        <v>43999</v>
      </c>
      <c r="Z730" s="11">
        <v>46197</v>
      </c>
      <c r="AA730" s="2"/>
      <c r="AB730" s="63" t="s">
        <v>3840</v>
      </c>
      <c r="AC730" s="5" t="s">
        <v>4198</v>
      </c>
      <c r="AD730" s="2"/>
      <c r="AE730" s="10">
        <v>45832</v>
      </c>
      <c r="AF730" s="23">
        <v>100</v>
      </c>
      <c r="AG730" s="9"/>
      <c r="AH730" s="5" t="s">
        <v>4033</v>
      </c>
      <c r="AI730" s="5" t="s">
        <v>3675</v>
      </c>
      <c r="AJ730" s="5" t="s">
        <v>928</v>
      </c>
      <c r="AK730" s="16" t="s">
        <v>3</v>
      </c>
      <c r="AL730" s="65" t="s">
        <v>929</v>
      </c>
      <c r="AM730" s="31" t="s">
        <v>559</v>
      </c>
    </row>
    <row r="731" spans="2:39" x14ac:dyDescent="0.25">
      <c r="B731" s="18" t="s">
        <v>730</v>
      </c>
      <c r="C731" s="44" t="s">
        <v>1247</v>
      </c>
      <c r="D731" s="20" t="s">
        <v>4034</v>
      </c>
      <c r="E731" s="67" t="s">
        <v>3</v>
      </c>
      <c r="F731" s="51" t="s">
        <v>1157</v>
      </c>
      <c r="G731" s="37" t="s">
        <v>3842</v>
      </c>
      <c r="H731" s="68" t="s">
        <v>2715</v>
      </c>
      <c r="I731" s="62" t="s">
        <v>1358</v>
      </c>
      <c r="J731" s="61" t="s">
        <v>250</v>
      </c>
      <c r="K731" s="4">
        <v>9849445</v>
      </c>
      <c r="L731" s="39">
        <v>106.892</v>
      </c>
      <c r="M731" s="4">
        <v>10625065</v>
      </c>
      <c r="N731" s="4">
        <v>9940000</v>
      </c>
      <c r="O731" s="4">
        <v>9886136</v>
      </c>
      <c r="P731" s="4">
        <v>0</v>
      </c>
      <c r="Q731" s="4">
        <v>14432</v>
      </c>
      <c r="R731" s="4">
        <v>0</v>
      </c>
      <c r="S731" s="4">
        <v>0</v>
      </c>
      <c r="T731" s="23">
        <v>2.75</v>
      </c>
      <c r="U731" s="23">
        <v>2.9140000000000001</v>
      </c>
      <c r="V731" s="5" t="s">
        <v>3844</v>
      </c>
      <c r="W731" s="4">
        <v>3797</v>
      </c>
      <c r="X731" s="4">
        <v>273350</v>
      </c>
      <c r="Y731" s="11">
        <v>43553</v>
      </c>
      <c r="Z731" s="11">
        <v>45469</v>
      </c>
      <c r="AA731" s="2"/>
      <c r="AB731" s="63" t="s">
        <v>3840</v>
      </c>
      <c r="AC731" s="5" t="s">
        <v>4198</v>
      </c>
      <c r="AD731" s="2"/>
      <c r="AE731" s="10">
        <v>45408</v>
      </c>
      <c r="AF731" s="23">
        <v>100</v>
      </c>
      <c r="AG731" s="9"/>
      <c r="AH731" s="5" t="s">
        <v>3</v>
      </c>
      <c r="AI731" s="5" t="s">
        <v>4035</v>
      </c>
      <c r="AJ731" s="5" t="s">
        <v>928</v>
      </c>
      <c r="AK731" s="16" t="s">
        <v>3</v>
      </c>
      <c r="AL731" s="65" t="s">
        <v>3842</v>
      </c>
      <c r="AM731" s="31" t="s">
        <v>559</v>
      </c>
    </row>
    <row r="732" spans="2:39" x14ac:dyDescent="0.25">
      <c r="B732" s="18" t="s">
        <v>2122</v>
      </c>
      <c r="C732" s="44" t="s">
        <v>3207</v>
      </c>
      <c r="D732" s="20" t="s">
        <v>2123</v>
      </c>
      <c r="E732" s="67" t="s">
        <v>3</v>
      </c>
      <c r="F732" s="51" t="s">
        <v>2218</v>
      </c>
      <c r="G732" s="37" t="s">
        <v>3842</v>
      </c>
      <c r="H732" s="68" t="s">
        <v>3842</v>
      </c>
      <c r="I732" s="62" t="s">
        <v>10</v>
      </c>
      <c r="J732" s="61" t="s">
        <v>250</v>
      </c>
      <c r="K732" s="4">
        <v>5000000</v>
      </c>
      <c r="L732" s="39">
        <v>110.554</v>
      </c>
      <c r="M732" s="4">
        <v>5527700</v>
      </c>
      <c r="N732" s="4">
        <v>5000000</v>
      </c>
      <c r="O732" s="4">
        <v>5000000</v>
      </c>
      <c r="P732" s="4">
        <v>0</v>
      </c>
      <c r="Q732" s="4">
        <v>0</v>
      </c>
      <c r="R732" s="4">
        <v>0</v>
      </c>
      <c r="S732" s="4">
        <v>0</v>
      </c>
      <c r="T732" s="23">
        <v>4.2690000000000001</v>
      </c>
      <c r="U732" s="23">
        <v>4.2690000000000001</v>
      </c>
      <c r="V732" s="5" t="s">
        <v>12</v>
      </c>
      <c r="W732" s="4">
        <v>58699</v>
      </c>
      <c r="X732" s="4">
        <v>213450</v>
      </c>
      <c r="Y732" s="11">
        <v>43543</v>
      </c>
      <c r="Z732" s="11">
        <v>45738</v>
      </c>
      <c r="AA732" s="2"/>
      <c r="AB732" s="63" t="s">
        <v>3840</v>
      </c>
      <c r="AC732" s="5" t="s">
        <v>4198</v>
      </c>
      <c r="AD732" s="2"/>
      <c r="AE732" s="10">
        <v>45373</v>
      </c>
      <c r="AF732" s="23">
        <v>100</v>
      </c>
      <c r="AG732" s="6"/>
      <c r="AH732" s="5" t="s">
        <v>3425</v>
      </c>
      <c r="AI732" s="5" t="s">
        <v>2123</v>
      </c>
      <c r="AJ732" s="5" t="s">
        <v>3</v>
      </c>
      <c r="AK732" s="16" t="s">
        <v>3</v>
      </c>
      <c r="AL732" s="65" t="s">
        <v>3842</v>
      </c>
      <c r="AM732" s="31" t="s">
        <v>1176</v>
      </c>
    </row>
    <row r="733" spans="2:39" x14ac:dyDescent="0.25">
      <c r="B733" s="18" t="s">
        <v>3208</v>
      </c>
      <c r="C733" s="44" t="s">
        <v>3426</v>
      </c>
      <c r="D733" s="20" t="s">
        <v>1837</v>
      </c>
      <c r="E733" s="67" t="s">
        <v>3</v>
      </c>
      <c r="F733" s="51" t="s">
        <v>1157</v>
      </c>
      <c r="G733" s="37" t="s">
        <v>2715</v>
      </c>
      <c r="H733" s="68" t="s">
        <v>3842</v>
      </c>
      <c r="I733" s="62" t="s">
        <v>1157</v>
      </c>
      <c r="J733" s="61" t="s">
        <v>250</v>
      </c>
      <c r="K733" s="4">
        <v>4914200</v>
      </c>
      <c r="L733" s="39">
        <v>102.81399999999999</v>
      </c>
      <c r="M733" s="4">
        <v>5140700</v>
      </c>
      <c r="N733" s="4">
        <v>5000000</v>
      </c>
      <c r="O733" s="4">
        <v>4917993</v>
      </c>
      <c r="P733" s="4">
        <v>0</v>
      </c>
      <c r="Q733" s="4">
        <v>3793</v>
      </c>
      <c r="R733" s="4">
        <v>0</v>
      </c>
      <c r="S733" s="4">
        <v>0</v>
      </c>
      <c r="T733" s="23">
        <v>1.75</v>
      </c>
      <c r="U733" s="23">
        <v>2.0139999999999998</v>
      </c>
      <c r="V733" s="5" t="s">
        <v>12</v>
      </c>
      <c r="W733" s="4">
        <v>28924</v>
      </c>
      <c r="X733" s="4">
        <v>0</v>
      </c>
      <c r="Y733" s="11">
        <v>44067</v>
      </c>
      <c r="Z733" s="11">
        <v>46632</v>
      </c>
      <c r="AA733" s="2"/>
      <c r="AB733" s="63" t="s">
        <v>3840</v>
      </c>
      <c r="AC733" s="5" t="s">
        <v>4198</v>
      </c>
      <c r="AD733" s="2"/>
      <c r="AE733" s="11">
        <v>46570</v>
      </c>
      <c r="AF733" s="23">
        <v>100</v>
      </c>
      <c r="AG733" s="9"/>
      <c r="AH733" s="5" t="s">
        <v>2124</v>
      </c>
      <c r="AI733" s="5" t="s">
        <v>731</v>
      </c>
      <c r="AJ733" s="5" t="s">
        <v>928</v>
      </c>
      <c r="AK733" s="16" t="s">
        <v>3</v>
      </c>
      <c r="AL733" s="65" t="s">
        <v>3842</v>
      </c>
      <c r="AM733" s="31" t="s">
        <v>926</v>
      </c>
    </row>
    <row r="734" spans="2:39" x14ac:dyDescent="0.25">
      <c r="B734" s="18" t="s">
        <v>732</v>
      </c>
      <c r="C734" s="44" t="s">
        <v>133</v>
      </c>
      <c r="D734" s="20" t="s">
        <v>3209</v>
      </c>
      <c r="E734" s="67" t="s">
        <v>3</v>
      </c>
      <c r="F734" s="51" t="s">
        <v>1157</v>
      </c>
      <c r="G734" s="37" t="s">
        <v>3</v>
      </c>
      <c r="H734" s="68" t="s">
        <v>2715</v>
      </c>
      <c r="I734" s="62" t="s">
        <v>1358</v>
      </c>
      <c r="J734" s="61" t="s">
        <v>250</v>
      </c>
      <c r="K734" s="4">
        <v>2993490</v>
      </c>
      <c r="L734" s="39">
        <v>106.754</v>
      </c>
      <c r="M734" s="4">
        <v>3202620</v>
      </c>
      <c r="N734" s="4">
        <v>3000000</v>
      </c>
      <c r="O734" s="4">
        <v>2996864</v>
      </c>
      <c r="P734" s="4">
        <v>0</v>
      </c>
      <c r="Q734" s="4">
        <v>1286</v>
      </c>
      <c r="R734" s="4">
        <v>0</v>
      </c>
      <c r="S734" s="4">
        <v>0</v>
      </c>
      <c r="T734" s="23">
        <v>3.75</v>
      </c>
      <c r="U734" s="23">
        <v>3.798</v>
      </c>
      <c r="V734" s="5" t="s">
        <v>3843</v>
      </c>
      <c r="W734" s="4">
        <v>23438</v>
      </c>
      <c r="X734" s="4">
        <v>112500</v>
      </c>
      <c r="Y734" s="11">
        <v>43199</v>
      </c>
      <c r="Z734" s="11">
        <v>45032</v>
      </c>
      <c r="AA734" s="2"/>
      <c r="AB734" s="63" t="s">
        <v>3840</v>
      </c>
      <c r="AC734" s="5" t="s">
        <v>9</v>
      </c>
      <c r="AD734" s="2"/>
      <c r="AE734" s="9"/>
      <c r="AF734" s="23"/>
      <c r="AG734" s="9"/>
      <c r="AH734" s="5" t="s">
        <v>3</v>
      </c>
      <c r="AI734" s="5" t="s">
        <v>134</v>
      </c>
      <c r="AJ734" s="5" t="s">
        <v>928</v>
      </c>
      <c r="AK734" s="16" t="s">
        <v>3</v>
      </c>
      <c r="AL734" s="65" t="s">
        <v>3842</v>
      </c>
      <c r="AM734" s="31" t="s">
        <v>559</v>
      </c>
    </row>
    <row r="735" spans="2:39" x14ac:dyDescent="0.25">
      <c r="B735" s="18" t="s">
        <v>1838</v>
      </c>
      <c r="C735" s="44" t="s">
        <v>1050</v>
      </c>
      <c r="D735" s="20" t="s">
        <v>135</v>
      </c>
      <c r="E735" s="67" t="s">
        <v>3</v>
      </c>
      <c r="F735" s="51" t="s">
        <v>2218</v>
      </c>
      <c r="G735" s="37" t="s">
        <v>2715</v>
      </c>
      <c r="H735" s="68" t="s">
        <v>929</v>
      </c>
      <c r="I735" s="62" t="s">
        <v>10</v>
      </c>
      <c r="J735" s="61" t="s">
        <v>250</v>
      </c>
      <c r="K735" s="4">
        <v>3015000</v>
      </c>
      <c r="L735" s="39">
        <v>103.095</v>
      </c>
      <c r="M735" s="4">
        <v>3092850</v>
      </c>
      <c r="N735" s="4">
        <v>3000000</v>
      </c>
      <c r="O735" s="4">
        <v>3005105</v>
      </c>
      <c r="P735" s="4">
        <v>0</v>
      </c>
      <c r="Q735" s="4">
        <v>-2810</v>
      </c>
      <c r="R735" s="4">
        <v>0</v>
      </c>
      <c r="S735" s="4">
        <v>0</v>
      </c>
      <c r="T735" s="23">
        <v>4.875</v>
      </c>
      <c r="U735" s="23">
        <v>4.7699999999999996</v>
      </c>
      <c r="V735" s="5" t="s">
        <v>12</v>
      </c>
      <c r="W735" s="4">
        <v>43063</v>
      </c>
      <c r="X735" s="4">
        <v>146250</v>
      </c>
      <c r="Y735" s="11">
        <v>42837</v>
      </c>
      <c r="Z735" s="11">
        <v>45915</v>
      </c>
      <c r="AA735" s="2"/>
      <c r="AB735" s="63" t="s">
        <v>3840</v>
      </c>
      <c r="AC735" s="5" t="s">
        <v>4198</v>
      </c>
      <c r="AD735" s="2"/>
      <c r="AE735" s="11">
        <v>44819</v>
      </c>
      <c r="AF735" s="23">
        <v>100</v>
      </c>
      <c r="AG735" s="11">
        <v>44819</v>
      </c>
      <c r="AH735" s="5" t="s">
        <v>3</v>
      </c>
      <c r="AI735" s="5" t="s">
        <v>3210</v>
      </c>
      <c r="AJ735" s="5" t="s">
        <v>928</v>
      </c>
      <c r="AK735" s="16" t="s">
        <v>3</v>
      </c>
      <c r="AL735" s="65" t="s">
        <v>3842</v>
      </c>
      <c r="AM735" s="31" t="s">
        <v>586</v>
      </c>
    </row>
    <row r="736" spans="2:39" x14ac:dyDescent="0.25">
      <c r="B736" s="18" t="s">
        <v>2918</v>
      </c>
      <c r="C736" s="44" t="s">
        <v>2567</v>
      </c>
      <c r="D736" s="20" t="s">
        <v>2319</v>
      </c>
      <c r="E736" s="67" t="s">
        <v>3</v>
      </c>
      <c r="F736" s="51" t="s">
        <v>1157</v>
      </c>
      <c r="G736" s="37" t="s">
        <v>2715</v>
      </c>
      <c r="H736" s="68" t="s">
        <v>929</v>
      </c>
      <c r="I736" s="62" t="s">
        <v>3310</v>
      </c>
      <c r="J736" s="61" t="s">
        <v>250</v>
      </c>
      <c r="K736" s="4">
        <v>4900000</v>
      </c>
      <c r="L736" s="39">
        <v>100.173</v>
      </c>
      <c r="M736" s="4">
        <v>4908477</v>
      </c>
      <c r="N736" s="4">
        <v>4900000</v>
      </c>
      <c r="O736" s="4">
        <v>4900000</v>
      </c>
      <c r="P736" s="4">
        <v>0</v>
      </c>
      <c r="Q736" s="4">
        <v>0</v>
      </c>
      <c r="R736" s="4">
        <v>0</v>
      </c>
      <c r="S736" s="4">
        <v>0</v>
      </c>
      <c r="T736" s="23">
        <v>3.125</v>
      </c>
      <c r="U736" s="23">
        <v>3.125</v>
      </c>
      <c r="V736" s="5" t="s">
        <v>1982</v>
      </c>
      <c r="W736" s="4">
        <v>9783</v>
      </c>
      <c r="X736" s="4">
        <v>0</v>
      </c>
      <c r="Y736" s="11">
        <v>44172</v>
      </c>
      <c r="Z736" s="11">
        <v>47314</v>
      </c>
      <c r="AA736" s="2"/>
      <c r="AB736" s="63" t="s">
        <v>3840</v>
      </c>
      <c r="AC736" s="5" t="s">
        <v>4198</v>
      </c>
      <c r="AD736" s="2"/>
      <c r="AE736" s="10">
        <v>45306</v>
      </c>
      <c r="AF736" s="23">
        <v>101.563</v>
      </c>
      <c r="AG736" s="9"/>
      <c r="AH736" s="5" t="s">
        <v>1248</v>
      </c>
      <c r="AI736" s="5" t="s">
        <v>3676</v>
      </c>
      <c r="AJ736" s="5" t="s">
        <v>928</v>
      </c>
      <c r="AK736" s="16" t="s">
        <v>3</v>
      </c>
      <c r="AL736" s="65" t="s">
        <v>3842</v>
      </c>
      <c r="AM736" s="31" t="s">
        <v>933</v>
      </c>
    </row>
    <row r="737" spans="2:39" x14ac:dyDescent="0.25">
      <c r="B737" s="18" t="s">
        <v>4036</v>
      </c>
      <c r="C737" s="44" t="s">
        <v>136</v>
      </c>
      <c r="D737" s="20" t="s">
        <v>1249</v>
      </c>
      <c r="E737" s="67" t="s">
        <v>3</v>
      </c>
      <c r="F737" s="51" t="s">
        <v>1157</v>
      </c>
      <c r="G737" s="37" t="s">
        <v>2715</v>
      </c>
      <c r="H737" s="68" t="s">
        <v>3842</v>
      </c>
      <c r="I737" s="62" t="s">
        <v>10</v>
      </c>
      <c r="J737" s="61" t="s">
        <v>250</v>
      </c>
      <c r="K737" s="4">
        <v>4999350</v>
      </c>
      <c r="L737" s="39">
        <v>105.992</v>
      </c>
      <c r="M737" s="4">
        <v>5299600</v>
      </c>
      <c r="N737" s="4">
        <v>5000000</v>
      </c>
      <c r="O737" s="4">
        <v>4999731</v>
      </c>
      <c r="P737" s="4">
        <v>0</v>
      </c>
      <c r="Q737" s="4">
        <v>93</v>
      </c>
      <c r="R737" s="4">
        <v>0</v>
      </c>
      <c r="S737" s="4">
        <v>0</v>
      </c>
      <c r="T737" s="23">
        <v>2.875</v>
      </c>
      <c r="U737" s="23">
        <v>2.8769999999999998</v>
      </c>
      <c r="V737" s="5" t="s">
        <v>12</v>
      </c>
      <c r="W737" s="4">
        <v>39132</v>
      </c>
      <c r="X737" s="4">
        <v>143750</v>
      </c>
      <c r="Y737" s="11">
        <v>42632</v>
      </c>
      <c r="Z737" s="11">
        <v>45192</v>
      </c>
      <c r="AA737" s="2"/>
      <c r="AB737" s="63" t="s">
        <v>3840</v>
      </c>
      <c r="AC737" s="5" t="s">
        <v>4198</v>
      </c>
      <c r="AD737" s="2"/>
      <c r="AE737" s="10">
        <v>45130</v>
      </c>
      <c r="AF737" s="23">
        <v>100</v>
      </c>
      <c r="AG737" s="9"/>
      <c r="AH737" s="5" t="s">
        <v>3</v>
      </c>
      <c r="AI737" s="5" t="s">
        <v>2568</v>
      </c>
      <c r="AJ737" s="5" t="s">
        <v>2568</v>
      </c>
      <c r="AK737" s="16" t="s">
        <v>3</v>
      </c>
      <c r="AL737" s="65" t="s">
        <v>3842</v>
      </c>
      <c r="AM737" s="31" t="s">
        <v>1176</v>
      </c>
    </row>
    <row r="738" spans="2:39" x14ac:dyDescent="0.25">
      <c r="B738" s="18" t="s">
        <v>733</v>
      </c>
      <c r="C738" s="44" t="s">
        <v>1250</v>
      </c>
      <c r="D738" s="20" t="s">
        <v>734</v>
      </c>
      <c r="E738" s="67" t="s">
        <v>3</v>
      </c>
      <c r="F738" s="51" t="s">
        <v>2218</v>
      </c>
      <c r="G738" s="37" t="s">
        <v>3</v>
      </c>
      <c r="H738" s="68" t="s">
        <v>3842</v>
      </c>
      <c r="I738" s="62" t="s">
        <v>10</v>
      </c>
      <c r="J738" s="61" t="s">
        <v>250</v>
      </c>
      <c r="K738" s="4">
        <v>4990000</v>
      </c>
      <c r="L738" s="39">
        <v>105.792</v>
      </c>
      <c r="M738" s="4">
        <v>5289600</v>
      </c>
      <c r="N738" s="4">
        <v>5000000</v>
      </c>
      <c r="O738" s="4">
        <v>4991784</v>
      </c>
      <c r="P738" s="4">
        <v>0</v>
      </c>
      <c r="Q738" s="4">
        <v>1784</v>
      </c>
      <c r="R738" s="4">
        <v>0</v>
      </c>
      <c r="S738" s="4">
        <v>0</v>
      </c>
      <c r="T738" s="23">
        <v>2.625</v>
      </c>
      <c r="U738" s="23">
        <v>2.6680000000000001</v>
      </c>
      <c r="V738" s="5" t="s">
        <v>1982</v>
      </c>
      <c r="W738" s="4">
        <v>57969</v>
      </c>
      <c r="X738" s="4">
        <v>65624</v>
      </c>
      <c r="Y738" s="11">
        <v>43846</v>
      </c>
      <c r="Z738" s="11">
        <v>45679</v>
      </c>
      <c r="AA738" s="2"/>
      <c r="AB738" s="63" t="s">
        <v>3840</v>
      </c>
      <c r="AC738" s="5" t="s">
        <v>4198</v>
      </c>
      <c r="AD738" s="2"/>
      <c r="AE738" s="6"/>
      <c r="AF738" s="23"/>
      <c r="AG738" s="9"/>
      <c r="AH738" s="5" t="s">
        <v>1839</v>
      </c>
      <c r="AI738" s="5" t="s">
        <v>735</v>
      </c>
      <c r="AJ738" s="5" t="s">
        <v>928</v>
      </c>
      <c r="AK738" s="16" t="s">
        <v>3</v>
      </c>
      <c r="AL738" s="65" t="s">
        <v>929</v>
      </c>
      <c r="AM738" s="31" t="s">
        <v>1176</v>
      </c>
    </row>
    <row r="739" spans="2:39" x14ac:dyDescent="0.25">
      <c r="B739" s="18" t="s">
        <v>1840</v>
      </c>
      <c r="C739" s="44" t="s">
        <v>1051</v>
      </c>
      <c r="D739" s="20" t="s">
        <v>735</v>
      </c>
      <c r="E739" s="67" t="s">
        <v>3</v>
      </c>
      <c r="F739" s="51" t="s">
        <v>1157</v>
      </c>
      <c r="G739" s="37" t="s">
        <v>3</v>
      </c>
      <c r="H739" s="68" t="s">
        <v>2715</v>
      </c>
      <c r="I739" s="62" t="s">
        <v>252</v>
      </c>
      <c r="J739" s="61" t="s">
        <v>250</v>
      </c>
      <c r="K739" s="4">
        <v>9972100</v>
      </c>
      <c r="L739" s="39">
        <v>102.21899999999999</v>
      </c>
      <c r="M739" s="4">
        <v>10221900</v>
      </c>
      <c r="N739" s="4">
        <v>10000000</v>
      </c>
      <c r="O739" s="4">
        <v>9974696</v>
      </c>
      <c r="P739" s="4">
        <v>0</v>
      </c>
      <c r="Q739" s="4">
        <v>2596</v>
      </c>
      <c r="R739" s="4">
        <v>0</v>
      </c>
      <c r="S739" s="4">
        <v>0</v>
      </c>
      <c r="T739" s="23">
        <v>1.375</v>
      </c>
      <c r="U739" s="23">
        <v>1.4330000000000001</v>
      </c>
      <c r="V739" s="5" t="s">
        <v>1982</v>
      </c>
      <c r="W739" s="4">
        <v>66076</v>
      </c>
      <c r="X739" s="4">
        <v>0</v>
      </c>
      <c r="Y739" s="11">
        <v>44012</v>
      </c>
      <c r="Z739" s="11">
        <v>45846</v>
      </c>
      <c r="AA739" s="2"/>
      <c r="AB739" s="63" t="s">
        <v>3840</v>
      </c>
      <c r="AC739" s="5" t="s">
        <v>4198</v>
      </c>
      <c r="AD739" s="2"/>
      <c r="AE739" s="6"/>
      <c r="AF739" s="23"/>
      <c r="AG739" s="9"/>
      <c r="AH739" s="5" t="s">
        <v>1839</v>
      </c>
      <c r="AI739" s="5" t="s">
        <v>735</v>
      </c>
      <c r="AJ739" s="5" t="s">
        <v>3</v>
      </c>
      <c r="AK739" s="16" t="s">
        <v>3</v>
      </c>
      <c r="AL739" s="65" t="s">
        <v>929</v>
      </c>
      <c r="AM739" s="31" t="s">
        <v>898</v>
      </c>
    </row>
    <row r="740" spans="2:39" x14ac:dyDescent="0.25">
      <c r="B740" s="18" t="s">
        <v>2919</v>
      </c>
      <c r="C740" s="44" t="s">
        <v>2320</v>
      </c>
      <c r="D740" s="20" t="s">
        <v>734</v>
      </c>
      <c r="E740" s="67" t="s">
        <v>3</v>
      </c>
      <c r="F740" s="51" t="s">
        <v>1157</v>
      </c>
      <c r="G740" s="37" t="s">
        <v>3842</v>
      </c>
      <c r="H740" s="68" t="s">
        <v>3842</v>
      </c>
      <c r="I740" s="62" t="s">
        <v>10</v>
      </c>
      <c r="J740" s="61" t="s">
        <v>250</v>
      </c>
      <c r="K740" s="4">
        <v>10010350</v>
      </c>
      <c r="L740" s="39">
        <v>101.029</v>
      </c>
      <c r="M740" s="4">
        <v>10102900</v>
      </c>
      <c r="N740" s="4">
        <v>10000000</v>
      </c>
      <c r="O740" s="4">
        <v>10010053</v>
      </c>
      <c r="P740" s="4">
        <v>0</v>
      </c>
      <c r="Q740" s="4">
        <v>-297</v>
      </c>
      <c r="R740" s="4">
        <v>0</v>
      </c>
      <c r="S740" s="4">
        <v>0</v>
      </c>
      <c r="T740" s="23">
        <v>1.488</v>
      </c>
      <c r="U740" s="23">
        <v>1.4239999999999999</v>
      </c>
      <c r="V740" s="5" t="s">
        <v>3844</v>
      </c>
      <c r="W740" s="4">
        <v>7027</v>
      </c>
      <c r="X740" s="4">
        <v>0</v>
      </c>
      <c r="Y740" s="11">
        <v>44174</v>
      </c>
      <c r="Z740" s="11">
        <v>46370</v>
      </c>
      <c r="AA740" s="2"/>
      <c r="AB740" s="63" t="s">
        <v>3840</v>
      </c>
      <c r="AC740" s="5" t="s">
        <v>4198</v>
      </c>
      <c r="AD740" s="2"/>
      <c r="AE740" s="11">
        <v>46005</v>
      </c>
      <c r="AF740" s="23">
        <v>100</v>
      </c>
      <c r="AG740" s="9"/>
      <c r="AH740" s="5" t="s">
        <v>1839</v>
      </c>
      <c r="AI740" s="5" t="s">
        <v>735</v>
      </c>
      <c r="AJ740" s="5" t="s">
        <v>928</v>
      </c>
      <c r="AK740" s="16" t="s">
        <v>3</v>
      </c>
      <c r="AL740" s="65" t="s">
        <v>929</v>
      </c>
      <c r="AM740" s="31" t="s">
        <v>1176</v>
      </c>
    </row>
    <row r="741" spans="2:39" x14ac:dyDescent="0.25">
      <c r="B741" s="18" t="s">
        <v>4342</v>
      </c>
      <c r="C741" s="44" t="s">
        <v>736</v>
      </c>
      <c r="D741" s="20" t="s">
        <v>1251</v>
      </c>
      <c r="E741" s="67" t="s">
        <v>3</v>
      </c>
      <c r="F741" s="51" t="s">
        <v>2218</v>
      </c>
      <c r="G741" s="37" t="s">
        <v>3842</v>
      </c>
      <c r="H741" s="68" t="s">
        <v>2715</v>
      </c>
      <c r="I741" s="62" t="s">
        <v>252</v>
      </c>
      <c r="J741" s="61" t="s">
        <v>250</v>
      </c>
      <c r="K741" s="4">
        <v>8410971</v>
      </c>
      <c r="L741" s="39">
        <v>105.95099999999999</v>
      </c>
      <c r="M741" s="4">
        <v>8793933</v>
      </c>
      <c r="N741" s="4">
        <v>8300000</v>
      </c>
      <c r="O741" s="4">
        <v>8392625</v>
      </c>
      <c r="P741" s="4">
        <v>0</v>
      </c>
      <c r="Q741" s="4">
        <v>-18346</v>
      </c>
      <c r="R741" s="4">
        <v>0</v>
      </c>
      <c r="S741" s="4">
        <v>0</v>
      </c>
      <c r="T741" s="23">
        <v>2.819</v>
      </c>
      <c r="U741" s="23">
        <v>2.5289999999999999</v>
      </c>
      <c r="V741" s="5" t="s">
        <v>1982</v>
      </c>
      <c r="W741" s="4">
        <v>98140</v>
      </c>
      <c r="X741" s="4">
        <v>127386</v>
      </c>
      <c r="Y741" s="11">
        <v>43873</v>
      </c>
      <c r="Z741" s="11">
        <v>46052</v>
      </c>
      <c r="AA741" s="2"/>
      <c r="AB741" s="63" t="s">
        <v>3840</v>
      </c>
      <c r="AC741" s="5" t="s">
        <v>4198</v>
      </c>
      <c r="AD741" s="2"/>
      <c r="AE741" s="11">
        <v>45687</v>
      </c>
      <c r="AF741" s="23">
        <v>100</v>
      </c>
      <c r="AG741" s="11">
        <v>45687</v>
      </c>
      <c r="AH741" s="5" t="s">
        <v>1052</v>
      </c>
      <c r="AI741" s="5" t="s">
        <v>2125</v>
      </c>
      <c r="AJ741" s="5" t="s">
        <v>928</v>
      </c>
      <c r="AK741" s="16" t="s">
        <v>3</v>
      </c>
      <c r="AL741" s="65" t="s">
        <v>3842</v>
      </c>
      <c r="AM741" s="31" t="s">
        <v>898</v>
      </c>
    </row>
    <row r="742" spans="2:39" x14ac:dyDescent="0.25">
      <c r="B742" s="18" t="s">
        <v>1053</v>
      </c>
      <c r="C742" s="44" t="s">
        <v>2321</v>
      </c>
      <c r="D742" s="20" t="s">
        <v>4021</v>
      </c>
      <c r="E742" s="67" t="s">
        <v>3</v>
      </c>
      <c r="F742" s="51" t="s">
        <v>2218</v>
      </c>
      <c r="G742" s="37" t="s">
        <v>2715</v>
      </c>
      <c r="H742" s="68" t="s">
        <v>2715</v>
      </c>
      <c r="I742" s="62" t="s">
        <v>2218</v>
      </c>
      <c r="J742" s="61" t="s">
        <v>250</v>
      </c>
      <c r="K742" s="4">
        <v>3000540</v>
      </c>
      <c r="L742" s="39">
        <v>104.387</v>
      </c>
      <c r="M742" s="4">
        <v>3131610</v>
      </c>
      <c r="N742" s="4">
        <v>3000000</v>
      </c>
      <c r="O742" s="4">
        <v>3000236</v>
      </c>
      <c r="P742" s="4">
        <v>0</v>
      </c>
      <c r="Q742" s="4">
        <v>-111</v>
      </c>
      <c r="R742" s="4">
        <v>0</v>
      </c>
      <c r="S742" s="4">
        <v>0</v>
      </c>
      <c r="T742" s="23">
        <v>2.4500000000000002</v>
      </c>
      <c r="U742" s="23">
        <v>2.4460000000000002</v>
      </c>
      <c r="V742" s="5" t="s">
        <v>1982</v>
      </c>
      <c r="W742" s="4">
        <v>33483</v>
      </c>
      <c r="X742" s="4">
        <v>73500</v>
      </c>
      <c r="Y742" s="11">
        <v>42996</v>
      </c>
      <c r="Z742" s="11">
        <v>44943</v>
      </c>
      <c r="AA742" s="2"/>
      <c r="AB742" s="63" t="s">
        <v>3840</v>
      </c>
      <c r="AC742" s="5" t="s">
        <v>4198</v>
      </c>
      <c r="AD742" s="2"/>
      <c r="AE742" s="9"/>
      <c r="AF742" s="23"/>
      <c r="AG742" s="9"/>
      <c r="AH742" s="5" t="s">
        <v>2113</v>
      </c>
      <c r="AI742" s="5" t="s">
        <v>4021</v>
      </c>
      <c r="AJ742" s="5" t="s">
        <v>3</v>
      </c>
      <c r="AK742" s="16" t="s">
        <v>3</v>
      </c>
      <c r="AL742" s="65" t="s">
        <v>2715</v>
      </c>
      <c r="AM742" s="31" t="s">
        <v>1351</v>
      </c>
    </row>
    <row r="743" spans="2:39" x14ac:dyDescent="0.25">
      <c r="B743" s="18" t="s">
        <v>2126</v>
      </c>
      <c r="C743" s="44" t="s">
        <v>4037</v>
      </c>
      <c r="D743" s="20" t="s">
        <v>1476</v>
      </c>
      <c r="E743" s="67" t="s">
        <v>3</v>
      </c>
      <c r="F743" s="51" t="s">
        <v>1157</v>
      </c>
      <c r="G743" s="37" t="s">
        <v>3</v>
      </c>
      <c r="H743" s="68" t="s">
        <v>2715</v>
      </c>
      <c r="I743" s="62" t="s">
        <v>1358</v>
      </c>
      <c r="J743" s="61" t="s">
        <v>250</v>
      </c>
      <c r="K743" s="4">
        <v>3500000</v>
      </c>
      <c r="L743" s="39">
        <v>104.19499999999999</v>
      </c>
      <c r="M743" s="4">
        <v>3646825</v>
      </c>
      <c r="N743" s="4">
        <v>3500000</v>
      </c>
      <c r="O743" s="4">
        <v>3500000</v>
      </c>
      <c r="P743" s="4">
        <v>0</v>
      </c>
      <c r="Q743" s="4">
        <v>0</v>
      </c>
      <c r="R743" s="4">
        <v>0</v>
      </c>
      <c r="S743" s="4">
        <v>0</v>
      </c>
      <c r="T743" s="23">
        <v>2.778</v>
      </c>
      <c r="U743" s="23">
        <v>2.778</v>
      </c>
      <c r="V743" s="5" t="s">
        <v>3843</v>
      </c>
      <c r="W743" s="4">
        <v>19716</v>
      </c>
      <c r="X743" s="4">
        <v>97230</v>
      </c>
      <c r="Y743" s="11">
        <v>43019</v>
      </c>
      <c r="Z743" s="11">
        <v>44852</v>
      </c>
      <c r="AA743" s="2"/>
      <c r="AB743" s="63" t="s">
        <v>3840</v>
      </c>
      <c r="AC743" s="5" t="s">
        <v>4198</v>
      </c>
      <c r="AD743" s="2"/>
      <c r="AE743" s="9"/>
      <c r="AF743" s="23"/>
      <c r="AG743" s="9"/>
      <c r="AH743" s="5" t="s">
        <v>3</v>
      </c>
      <c r="AI743" s="5" t="s">
        <v>3427</v>
      </c>
      <c r="AJ743" s="5" t="s">
        <v>3677</v>
      </c>
      <c r="AK743" s="16" t="s">
        <v>3</v>
      </c>
      <c r="AL743" s="65" t="s">
        <v>3842</v>
      </c>
      <c r="AM743" s="31" t="s">
        <v>559</v>
      </c>
    </row>
    <row r="744" spans="2:39" x14ac:dyDescent="0.25">
      <c r="B744" s="18" t="s">
        <v>4038</v>
      </c>
      <c r="C744" s="44" t="s">
        <v>2569</v>
      </c>
      <c r="D744" s="20" t="s">
        <v>1476</v>
      </c>
      <c r="E744" s="67" t="s">
        <v>3</v>
      </c>
      <c r="F744" s="51" t="s">
        <v>2218</v>
      </c>
      <c r="G744" s="37" t="s">
        <v>3</v>
      </c>
      <c r="H744" s="68" t="s">
        <v>2715</v>
      </c>
      <c r="I744" s="62" t="s">
        <v>1358</v>
      </c>
      <c r="J744" s="61" t="s">
        <v>250</v>
      </c>
      <c r="K744" s="4">
        <v>5000000</v>
      </c>
      <c r="L744" s="39">
        <v>106.077</v>
      </c>
      <c r="M744" s="4">
        <v>5303850</v>
      </c>
      <c r="N744" s="4">
        <v>5000000</v>
      </c>
      <c r="O744" s="4">
        <v>5000000</v>
      </c>
      <c r="P744" s="4">
        <v>0</v>
      </c>
      <c r="Q744" s="4">
        <v>0</v>
      </c>
      <c r="R744" s="4">
        <v>0</v>
      </c>
      <c r="S744" s="4">
        <v>0</v>
      </c>
      <c r="T744" s="23">
        <v>2.3479999999999999</v>
      </c>
      <c r="U744" s="23">
        <v>2.3479999999999999</v>
      </c>
      <c r="V744" s="5" t="s">
        <v>1982</v>
      </c>
      <c r="W744" s="4">
        <v>54134</v>
      </c>
      <c r="X744" s="4">
        <v>58700</v>
      </c>
      <c r="Y744" s="11">
        <v>43836</v>
      </c>
      <c r="Z744" s="11">
        <v>45672</v>
      </c>
      <c r="AA744" s="2"/>
      <c r="AB744" s="63" t="s">
        <v>3840</v>
      </c>
      <c r="AC744" s="5" t="s">
        <v>4198</v>
      </c>
      <c r="AD744" s="2"/>
      <c r="AE744" s="9"/>
      <c r="AF744" s="23"/>
      <c r="AG744" s="9"/>
      <c r="AH744" s="5" t="s">
        <v>3</v>
      </c>
      <c r="AI744" s="5" t="s">
        <v>3427</v>
      </c>
      <c r="AJ744" s="5" t="s">
        <v>3677</v>
      </c>
      <c r="AK744" s="16" t="s">
        <v>3</v>
      </c>
      <c r="AL744" s="65" t="s">
        <v>3842</v>
      </c>
      <c r="AM744" s="31" t="s">
        <v>559</v>
      </c>
    </row>
    <row r="745" spans="2:39" x14ac:dyDescent="0.25">
      <c r="B745" s="18" t="s">
        <v>737</v>
      </c>
      <c r="C745" s="44" t="s">
        <v>1054</v>
      </c>
      <c r="D745" s="20" t="s">
        <v>1476</v>
      </c>
      <c r="E745" s="67" t="s">
        <v>3</v>
      </c>
      <c r="F745" s="51" t="s">
        <v>1157</v>
      </c>
      <c r="G745" s="37" t="s">
        <v>3</v>
      </c>
      <c r="H745" s="68" t="s">
        <v>2715</v>
      </c>
      <c r="I745" s="62" t="s">
        <v>1358</v>
      </c>
      <c r="J745" s="61" t="s">
        <v>250</v>
      </c>
      <c r="K745" s="4">
        <v>5000000</v>
      </c>
      <c r="L745" s="39">
        <v>102.533</v>
      </c>
      <c r="M745" s="4">
        <v>5126650</v>
      </c>
      <c r="N745" s="4">
        <v>5000000</v>
      </c>
      <c r="O745" s="4">
        <v>5000000</v>
      </c>
      <c r="P745" s="4">
        <v>0</v>
      </c>
      <c r="Q745" s="4">
        <v>0</v>
      </c>
      <c r="R745" s="4">
        <v>0</v>
      </c>
      <c r="S745" s="4">
        <v>0</v>
      </c>
      <c r="T745" s="23">
        <v>1.474</v>
      </c>
      <c r="U745" s="23">
        <v>1.474</v>
      </c>
      <c r="V745" s="5" t="s">
        <v>1982</v>
      </c>
      <c r="W745" s="4">
        <v>35417</v>
      </c>
      <c r="X745" s="4">
        <v>0</v>
      </c>
      <c r="Y745" s="11">
        <v>44011</v>
      </c>
      <c r="Z745" s="11">
        <v>45846</v>
      </c>
      <c r="AA745" s="2"/>
      <c r="AB745" s="63" t="s">
        <v>3840</v>
      </c>
      <c r="AC745" s="5" t="s">
        <v>4198</v>
      </c>
      <c r="AD745" s="2"/>
      <c r="AE745" s="9"/>
      <c r="AF745" s="23"/>
      <c r="AG745" s="9"/>
      <c r="AH745" s="5" t="s">
        <v>3</v>
      </c>
      <c r="AI745" s="5" t="s">
        <v>3427</v>
      </c>
      <c r="AJ745" s="5" t="s">
        <v>3677</v>
      </c>
      <c r="AK745" s="16" t="s">
        <v>3</v>
      </c>
      <c r="AL745" s="65" t="s">
        <v>3842</v>
      </c>
      <c r="AM745" s="31" t="s">
        <v>559</v>
      </c>
    </row>
    <row r="746" spans="2:39" x14ac:dyDescent="0.25">
      <c r="B746" s="18" t="s">
        <v>1841</v>
      </c>
      <c r="C746" s="44" t="s">
        <v>1842</v>
      </c>
      <c r="D746" s="20" t="s">
        <v>137</v>
      </c>
      <c r="E746" s="67" t="s">
        <v>3</v>
      </c>
      <c r="F746" s="51" t="s">
        <v>1157</v>
      </c>
      <c r="G746" s="37" t="s">
        <v>2715</v>
      </c>
      <c r="H746" s="68" t="s">
        <v>3842</v>
      </c>
      <c r="I746" s="62" t="s">
        <v>1157</v>
      </c>
      <c r="J746" s="61" t="s">
        <v>250</v>
      </c>
      <c r="K746" s="4">
        <v>4999770</v>
      </c>
      <c r="L746" s="39">
        <v>107.27</v>
      </c>
      <c r="M746" s="4">
        <v>5363500</v>
      </c>
      <c r="N746" s="4">
        <v>5000000</v>
      </c>
      <c r="O746" s="4">
        <v>4999849</v>
      </c>
      <c r="P746" s="4">
        <v>0</v>
      </c>
      <c r="Q746" s="4">
        <v>36</v>
      </c>
      <c r="R746" s="4">
        <v>0</v>
      </c>
      <c r="S746" s="4">
        <v>0</v>
      </c>
      <c r="T746" s="23">
        <v>4.8920000000000003</v>
      </c>
      <c r="U746" s="23">
        <v>4.8929999999999998</v>
      </c>
      <c r="V746" s="5" t="s">
        <v>3843</v>
      </c>
      <c r="W746" s="4">
        <v>45523</v>
      </c>
      <c r="X746" s="4">
        <v>244600</v>
      </c>
      <c r="Y746" s="11">
        <v>43209</v>
      </c>
      <c r="Z746" s="11">
        <v>45771</v>
      </c>
      <c r="AA746" s="2"/>
      <c r="AB746" s="63" t="s">
        <v>3840</v>
      </c>
      <c r="AC746" s="5" t="s">
        <v>4198</v>
      </c>
      <c r="AD746" s="2"/>
      <c r="AE746" s="11">
        <v>45712</v>
      </c>
      <c r="AF746" s="23">
        <v>100</v>
      </c>
      <c r="AG746" s="9"/>
      <c r="AH746" s="5" t="s">
        <v>3</v>
      </c>
      <c r="AI746" s="5" t="s">
        <v>2127</v>
      </c>
      <c r="AJ746" s="5" t="s">
        <v>928</v>
      </c>
      <c r="AK746" s="16" t="s">
        <v>3</v>
      </c>
      <c r="AL746" s="65" t="s">
        <v>3842</v>
      </c>
      <c r="AM746" s="31" t="s">
        <v>926</v>
      </c>
    </row>
    <row r="747" spans="2:39" x14ac:dyDescent="0.25">
      <c r="B747" s="18" t="s">
        <v>2920</v>
      </c>
      <c r="C747" s="44" t="s">
        <v>2570</v>
      </c>
      <c r="D747" s="20" t="s">
        <v>1843</v>
      </c>
      <c r="E747" s="67" t="s">
        <v>3</v>
      </c>
      <c r="F747" s="51" t="s">
        <v>2218</v>
      </c>
      <c r="G747" s="37" t="s">
        <v>2715</v>
      </c>
      <c r="H747" s="68" t="s">
        <v>3842</v>
      </c>
      <c r="I747" s="62" t="s">
        <v>10</v>
      </c>
      <c r="J747" s="61" t="s">
        <v>250</v>
      </c>
      <c r="K747" s="4">
        <v>4998388</v>
      </c>
      <c r="L747" s="39">
        <v>110.78700000000001</v>
      </c>
      <c r="M747" s="4">
        <v>5539350</v>
      </c>
      <c r="N747" s="4">
        <v>5000000</v>
      </c>
      <c r="O747" s="4">
        <v>4998879</v>
      </c>
      <c r="P747" s="4">
        <v>0</v>
      </c>
      <c r="Q747" s="4">
        <v>467</v>
      </c>
      <c r="R747" s="4">
        <v>0</v>
      </c>
      <c r="S747" s="4">
        <v>0</v>
      </c>
      <c r="T747" s="23">
        <v>4.4000000000000004</v>
      </c>
      <c r="U747" s="23">
        <v>4.4080000000000004</v>
      </c>
      <c r="V747" s="5" t="s">
        <v>3312</v>
      </c>
      <c r="W747" s="4">
        <v>21389</v>
      </c>
      <c r="X747" s="4">
        <v>220000</v>
      </c>
      <c r="Y747" s="11">
        <v>43816</v>
      </c>
      <c r="Z747" s="11">
        <v>45256</v>
      </c>
      <c r="AA747" s="2"/>
      <c r="AB747" s="63" t="s">
        <v>3840</v>
      </c>
      <c r="AC747" s="5" t="s">
        <v>4198</v>
      </c>
      <c r="AD747" s="2"/>
      <c r="AE747" s="11">
        <v>45225</v>
      </c>
      <c r="AF747" s="23">
        <v>100</v>
      </c>
      <c r="AG747" s="9"/>
      <c r="AH747" s="5" t="s">
        <v>2571</v>
      </c>
      <c r="AI747" s="5" t="s">
        <v>1477</v>
      </c>
      <c r="AJ747" s="5" t="s">
        <v>1477</v>
      </c>
      <c r="AK747" s="16" t="s">
        <v>3</v>
      </c>
      <c r="AL747" s="65" t="s">
        <v>3842</v>
      </c>
      <c r="AM747" s="31" t="s">
        <v>1176</v>
      </c>
    </row>
    <row r="748" spans="2:39" x14ac:dyDescent="0.25">
      <c r="B748" s="18" t="s">
        <v>4039</v>
      </c>
      <c r="C748" s="44" t="s">
        <v>3428</v>
      </c>
      <c r="D748" s="20" t="s">
        <v>3429</v>
      </c>
      <c r="E748" s="67" t="s">
        <v>3</v>
      </c>
      <c r="F748" s="51" t="s">
        <v>1157</v>
      </c>
      <c r="G748" s="37" t="s">
        <v>3842</v>
      </c>
      <c r="H748" s="68" t="s">
        <v>2715</v>
      </c>
      <c r="I748" s="62" t="s">
        <v>1358</v>
      </c>
      <c r="J748" s="61" t="s">
        <v>250</v>
      </c>
      <c r="K748" s="4">
        <v>7000000</v>
      </c>
      <c r="L748" s="39">
        <v>101.212</v>
      </c>
      <c r="M748" s="4">
        <v>7084840</v>
      </c>
      <c r="N748" s="4">
        <v>7000000</v>
      </c>
      <c r="O748" s="4">
        <v>7000000</v>
      </c>
      <c r="P748" s="4">
        <v>0</v>
      </c>
      <c r="Q748" s="4">
        <v>0</v>
      </c>
      <c r="R748" s="4">
        <v>0</v>
      </c>
      <c r="S748" s="4">
        <v>0</v>
      </c>
      <c r="T748" s="23">
        <v>1.3640000000000001</v>
      </c>
      <c r="U748" s="23">
        <v>1.3640000000000001</v>
      </c>
      <c r="V748" s="5" t="s">
        <v>1982</v>
      </c>
      <c r="W748" s="4">
        <v>40049</v>
      </c>
      <c r="X748" s="4">
        <v>0</v>
      </c>
      <c r="Y748" s="11">
        <v>44039</v>
      </c>
      <c r="Z748" s="11">
        <v>46417</v>
      </c>
      <c r="AA748" s="2"/>
      <c r="AB748" s="63" t="s">
        <v>3840</v>
      </c>
      <c r="AC748" s="5" t="s">
        <v>4198</v>
      </c>
      <c r="AD748" s="2"/>
      <c r="AE748" s="11">
        <v>46052</v>
      </c>
      <c r="AF748" s="23">
        <v>100</v>
      </c>
      <c r="AG748" s="9"/>
      <c r="AH748" s="5" t="s">
        <v>2322</v>
      </c>
      <c r="AI748" s="5" t="s">
        <v>2128</v>
      </c>
      <c r="AJ748" s="5" t="s">
        <v>928</v>
      </c>
      <c r="AK748" s="16" t="s">
        <v>3</v>
      </c>
      <c r="AL748" s="65" t="s">
        <v>3842</v>
      </c>
      <c r="AM748" s="31" t="s">
        <v>559</v>
      </c>
    </row>
    <row r="749" spans="2:39" x14ac:dyDescent="0.25">
      <c r="B749" s="18" t="s">
        <v>1055</v>
      </c>
      <c r="C749" s="44" t="s">
        <v>138</v>
      </c>
      <c r="D749" s="20" t="s">
        <v>3211</v>
      </c>
      <c r="E749" s="67" t="s">
        <v>3</v>
      </c>
      <c r="F749" s="51" t="s">
        <v>1157</v>
      </c>
      <c r="G749" s="37" t="s">
        <v>3</v>
      </c>
      <c r="H749" s="68" t="s">
        <v>2715</v>
      </c>
      <c r="I749" s="62" t="s">
        <v>1358</v>
      </c>
      <c r="J749" s="61" t="s">
        <v>250</v>
      </c>
      <c r="K749" s="4">
        <v>5000000</v>
      </c>
      <c r="L749" s="39">
        <v>104.38200000000001</v>
      </c>
      <c r="M749" s="4">
        <v>5219100</v>
      </c>
      <c r="N749" s="4">
        <v>5000000</v>
      </c>
      <c r="O749" s="4">
        <v>5000000</v>
      </c>
      <c r="P749" s="4">
        <v>0</v>
      </c>
      <c r="Q749" s="4">
        <v>0</v>
      </c>
      <c r="R749" s="4">
        <v>0</v>
      </c>
      <c r="S749" s="4">
        <v>0</v>
      </c>
      <c r="T749" s="23">
        <v>3.28</v>
      </c>
      <c r="U749" s="23">
        <v>3.28</v>
      </c>
      <c r="V749" s="5" t="s">
        <v>3843</v>
      </c>
      <c r="W749" s="4">
        <v>35533</v>
      </c>
      <c r="X749" s="4">
        <v>164000</v>
      </c>
      <c r="Y749" s="11">
        <v>42290</v>
      </c>
      <c r="Z749" s="11">
        <v>44847</v>
      </c>
      <c r="AA749" s="2"/>
      <c r="AB749" s="63" t="s">
        <v>2748</v>
      </c>
      <c r="AC749" s="5" t="s">
        <v>3</v>
      </c>
      <c r="AD749" s="2"/>
      <c r="AE749" s="9"/>
      <c r="AF749" s="23"/>
      <c r="AG749" s="9"/>
      <c r="AH749" s="5" t="s">
        <v>3</v>
      </c>
      <c r="AI749" s="5" t="s">
        <v>738</v>
      </c>
      <c r="AJ749" s="5" t="s">
        <v>738</v>
      </c>
      <c r="AK749" s="16" t="s">
        <v>3</v>
      </c>
      <c r="AL749" s="65" t="s">
        <v>3842</v>
      </c>
      <c r="AM749" s="31" t="s">
        <v>559</v>
      </c>
    </row>
    <row r="750" spans="2:39" x14ac:dyDescent="0.25">
      <c r="B750" s="18" t="s">
        <v>2129</v>
      </c>
      <c r="C750" s="44" t="s">
        <v>2921</v>
      </c>
      <c r="D750" s="20" t="s">
        <v>409</v>
      </c>
      <c r="E750" s="67" t="s">
        <v>3</v>
      </c>
      <c r="F750" s="51" t="s">
        <v>2218</v>
      </c>
      <c r="G750" s="37" t="s">
        <v>2715</v>
      </c>
      <c r="H750" s="68" t="s">
        <v>3842</v>
      </c>
      <c r="I750" s="62" t="s">
        <v>10</v>
      </c>
      <c r="J750" s="61" t="s">
        <v>250</v>
      </c>
      <c r="K750" s="4">
        <v>5013210</v>
      </c>
      <c r="L750" s="39">
        <v>114.35599999999999</v>
      </c>
      <c r="M750" s="4">
        <v>5717800</v>
      </c>
      <c r="N750" s="4">
        <v>5000000</v>
      </c>
      <c r="O750" s="4">
        <v>5011960</v>
      </c>
      <c r="P750" s="4">
        <v>0</v>
      </c>
      <c r="Q750" s="4">
        <v>-2508</v>
      </c>
      <c r="R750" s="4">
        <v>0</v>
      </c>
      <c r="S750" s="4">
        <v>0</v>
      </c>
      <c r="T750" s="23">
        <v>4.125</v>
      </c>
      <c r="U750" s="23">
        <v>4.0640000000000001</v>
      </c>
      <c r="V750" s="5" t="s">
        <v>3312</v>
      </c>
      <c r="W750" s="4">
        <v>17760</v>
      </c>
      <c r="X750" s="4">
        <v>206250</v>
      </c>
      <c r="Y750" s="11">
        <v>43553</v>
      </c>
      <c r="Z750" s="11">
        <v>45807</v>
      </c>
      <c r="AA750" s="2"/>
      <c r="AB750" s="63" t="s">
        <v>3840</v>
      </c>
      <c r="AC750" s="5" t="s">
        <v>4198</v>
      </c>
      <c r="AD750" s="2"/>
      <c r="AE750" s="9"/>
      <c r="AF750" s="23"/>
      <c r="AG750" s="9"/>
      <c r="AH750" s="5" t="s">
        <v>2922</v>
      </c>
      <c r="AI750" s="5" t="s">
        <v>409</v>
      </c>
      <c r="AJ750" s="5" t="s">
        <v>3</v>
      </c>
      <c r="AK750" s="16" t="s">
        <v>3</v>
      </c>
      <c r="AL750" s="65" t="s">
        <v>3842</v>
      </c>
      <c r="AM750" s="31" t="s">
        <v>1176</v>
      </c>
    </row>
    <row r="751" spans="2:39" x14ac:dyDescent="0.25">
      <c r="B751" s="18" t="s">
        <v>3212</v>
      </c>
      <c r="C751" s="44" t="s">
        <v>3678</v>
      </c>
      <c r="D751" s="20" t="s">
        <v>1252</v>
      </c>
      <c r="E751" s="67" t="s">
        <v>3</v>
      </c>
      <c r="F751" s="51" t="s">
        <v>1157</v>
      </c>
      <c r="G751" s="37" t="s">
        <v>3</v>
      </c>
      <c r="H751" s="68" t="s">
        <v>2715</v>
      </c>
      <c r="I751" s="62" t="s">
        <v>1358</v>
      </c>
      <c r="J751" s="61" t="s">
        <v>2244</v>
      </c>
      <c r="K751" s="4">
        <v>11000000</v>
      </c>
      <c r="L751" s="39">
        <v>108.34099999999999</v>
      </c>
      <c r="M751" s="4">
        <v>11917510</v>
      </c>
      <c r="N751" s="4">
        <v>11000000</v>
      </c>
      <c r="O751" s="4">
        <v>11000000</v>
      </c>
      <c r="P751" s="4">
        <v>0</v>
      </c>
      <c r="Q751" s="4">
        <v>0</v>
      </c>
      <c r="R751" s="4">
        <v>0</v>
      </c>
      <c r="S751" s="4">
        <v>0</v>
      </c>
      <c r="T751" s="23">
        <v>3.41</v>
      </c>
      <c r="U751" s="23">
        <v>3.41</v>
      </c>
      <c r="V751" s="5" t="s">
        <v>1982</v>
      </c>
      <c r="W751" s="4">
        <v>162543</v>
      </c>
      <c r="X751" s="4">
        <v>375100</v>
      </c>
      <c r="Y751" s="11">
        <v>42941</v>
      </c>
      <c r="Z751" s="11">
        <v>45498</v>
      </c>
      <c r="AA751" s="2"/>
      <c r="AB751" s="63" t="s">
        <v>2748</v>
      </c>
      <c r="AC751" s="5" t="s">
        <v>3</v>
      </c>
      <c r="AD751" s="2"/>
      <c r="AE751" s="9"/>
      <c r="AF751" s="23"/>
      <c r="AG751" s="9"/>
      <c r="AH751" s="5" t="s">
        <v>2130</v>
      </c>
      <c r="AI751" s="5" t="s">
        <v>1252</v>
      </c>
      <c r="AJ751" s="5" t="s">
        <v>3</v>
      </c>
      <c r="AK751" s="16" t="s">
        <v>3</v>
      </c>
      <c r="AL751" s="65" t="s">
        <v>3842</v>
      </c>
      <c r="AM751" s="31" t="s">
        <v>2323</v>
      </c>
    </row>
    <row r="752" spans="2:39" x14ac:dyDescent="0.25">
      <c r="B752" s="18" t="s">
        <v>4343</v>
      </c>
      <c r="C752" s="44" t="s">
        <v>410</v>
      </c>
      <c r="D752" s="20" t="s">
        <v>1252</v>
      </c>
      <c r="E752" s="67" t="s">
        <v>3</v>
      </c>
      <c r="F752" s="51" t="s">
        <v>1157</v>
      </c>
      <c r="G752" s="37" t="s">
        <v>3</v>
      </c>
      <c r="H752" s="68" t="s">
        <v>2715</v>
      </c>
      <c r="I752" s="62" t="s">
        <v>1358</v>
      </c>
      <c r="J752" s="61" t="s">
        <v>2244</v>
      </c>
      <c r="K752" s="4">
        <v>2000000</v>
      </c>
      <c r="L752" s="39">
        <v>102.096</v>
      </c>
      <c r="M752" s="4">
        <v>2041920</v>
      </c>
      <c r="N752" s="4">
        <v>2000000</v>
      </c>
      <c r="O752" s="4">
        <v>2000000</v>
      </c>
      <c r="P752" s="4">
        <v>0</v>
      </c>
      <c r="Q752" s="4">
        <v>0</v>
      </c>
      <c r="R752" s="4">
        <v>0</v>
      </c>
      <c r="S752" s="4">
        <v>0</v>
      </c>
      <c r="T752" s="23">
        <v>3.62</v>
      </c>
      <c r="U752" s="23">
        <v>3.62</v>
      </c>
      <c r="V752" s="5" t="s">
        <v>12</v>
      </c>
      <c r="W752" s="4">
        <v>19106</v>
      </c>
      <c r="X752" s="4">
        <v>72400</v>
      </c>
      <c r="Y752" s="11">
        <v>43369</v>
      </c>
      <c r="Z752" s="11">
        <v>44465</v>
      </c>
      <c r="AA752" s="2"/>
      <c r="AB752" s="63" t="s">
        <v>2748</v>
      </c>
      <c r="AC752" s="5" t="s">
        <v>3</v>
      </c>
      <c r="AD752" s="2"/>
      <c r="AE752" s="9"/>
      <c r="AF752" s="23"/>
      <c r="AG752" s="9"/>
      <c r="AH752" s="5" t="s">
        <v>2130</v>
      </c>
      <c r="AI752" s="5" t="s">
        <v>1252</v>
      </c>
      <c r="AJ752" s="5" t="s">
        <v>3</v>
      </c>
      <c r="AK752" s="16" t="s">
        <v>3</v>
      </c>
      <c r="AL752" s="65" t="s">
        <v>3842</v>
      </c>
      <c r="AM752" s="31" t="s">
        <v>2323</v>
      </c>
    </row>
    <row r="753" spans="2:39" x14ac:dyDescent="0.25">
      <c r="B753" s="18" t="s">
        <v>1056</v>
      </c>
      <c r="C753" s="44" t="s">
        <v>2324</v>
      </c>
      <c r="D753" s="20" t="s">
        <v>3213</v>
      </c>
      <c r="E753" s="67" t="s">
        <v>3</v>
      </c>
      <c r="F753" s="51" t="s">
        <v>1157</v>
      </c>
      <c r="G753" s="37" t="s">
        <v>3</v>
      </c>
      <c r="H753" s="68" t="s">
        <v>3842</v>
      </c>
      <c r="I753" s="62" t="s">
        <v>1157</v>
      </c>
      <c r="J753" s="61" t="s">
        <v>2244</v>
      </c>
      <c r="K753" s="4">
        <v>2131580</v>
      </c>
      <c r="L753" s="39">
        <v>106.812</v>
      </c>
      <c r="M753" s="4">
        <v>2136240</v>
      </c>
      <c r="N753" s="4">
        <v>2000000</v>
      </c>
      <c r="O753" s="4">
        <v>2065312</v>
      </c>
      <c r="P753" s="4">
        <v>0</v>
      </c>
      <c r="Q753" s="4">
        <v>-18484</v>
      </c>
      <c r="R753" s="4">
        <v>0</v>
      </c>
      <c r="S753" s="4">
        <v>0</v>
      </c>
      <c r="T753" s="23">
        <v>5</v>
      </c>
      <c r="U753" s="23">
        <v>3.92</v>
      </c>
      <c r="V753" s="5" t="s">
        <v>3843</v>
      </c>
      <c r="W753" s="4">
        <v>24722</v>
      </c>
      <c r="X753" s="4">
        <v>114000</v>
      </c>
      <c r="Y753" s="11">
        <v>42796</v>
      </c>
      <c r="Z753" s="11">
        <v>45384</v>
      </c>
      <c r="AA753" s="2"/>
      <c r="AB753" s="63" t="s">
        <v>643</v>
      </c>
      <c r="AC753" s="5" t="s">
        <v>1417</v>
      </c>
      <c r="AD753" s="2"/>
      <c r="AE753" s="9"/>
      <c r="AF753" s="23"/>
      <c r="AG753" s="9"/>
      <c r="AH753" s="5" t="s">
        <v>3</v>
      </c>
      <c r="AI753" s="5" t="s">
        <v>3213</v>
      </c>
      <c r="AJ753" s="5" t="s">
        <v>3</v>
      </c>
      <c r="AK753" s="16" t="s">
        <v>3</v>
      </c>
      <c r="AL753" s="65" t="s">
        <v>3842</v>
      </c>
      <c r="AM753" s="31" t="s">
        <v>2833</v>
      </c>
    </row>
    <row r="754" spans="2:39" x14ac:dyDescent="0.25">
      <c r="B754" s="18" t="s">
        <v>2923</v>
      </c>
      <c r="C754" s="44" t="s">
        <v>3430</v>
      </c>
      <c r="D754" s="20" t="s">
        <v>3213</v>
      </c>
      <c r="E754" s="67" t="s">
        <v>3</v>
      </c>
      <c r="F754" s="51" t="s">
        <v>1157</v>
      </c>
      <c r="G754" s="37" t="s">
        <v>3</v>
      </c>
      <c r="H754" s="68" t="s">
        <v>3842</v>
      </c>
      <c r="I754" s="62" t="s">
        <v>1157</v>
      </c>
      <c r="J754" s="61" t="s">
        <v>2244</v>
      </c>
      <c r="K754" s="4">
        <v>2000000</v>
      </c>
      <c r="L754" s="39">
        <v>108.81399999999999</v>
      </c>
      <c r="M754" s="4">
        <v>2176280</v>
      </c>
      <c r="N754" s="4">
        <v>2000000</v>
      </c>
      <c r="O754" s="4">
        <v>2000000</v>
      </c>
      <c r="P754" s="4">
        <v>0</v>
      </c>
      <c r="Q754" s="4">
        <v>0</v>
      </c>
      <c r="R754" s="4">
        <v>0</v>
      </c>
      <c r="S754" s="4">
        <v>0</v>
      </c>
      <c r="T754" s="23">
        <v>4.68</v>
      </c>
      <c r="U754" s="23">
        <v>4.68</v>
      </c>
      <c r="V754" s="5" t="s">
        <v>1982</v>
      </c>
      <c r="W754" s="4">
        <v>40560</v>
      </c>
      <c r="X754" s="4">
        <v>102600</v>
      </c>
      <c r="Y754" s="11">
        <v>43671</v>
      </c>
      <c r="Z754" s="11">
        <v>46593</v>
      </c>
      <c r="AA754" s="2"/>
      <c r="AB754" s="63" t="s">
        <v>643</v>
      </c>
      <c r="AC754" s="5" t="s">
        <v>1417</v>
      </c>
      <c r="AD754" s="2"/>
      <c r="AE754" s="6"/>
      <c r="AF754" s="23"/>
      <c r="AG754" s="9"/>
      <c r="AH754" s="5" t="s">
        <v>3</v>
      </c>
      <c r="AI754" s="5" t="s">
        <v>3213</v>
      </c>
      <c r="AJ754" s="5" t="s">
        <v>3</v>
      </c>
      <c r="AK754" s="16" t="s">
        <v>3</v>
      </c>
      <c r="AL754" s="65" t="s">
        <v>3842</v>
      </c>
      <c r="AM754" s="31" t="s">
        <v>2833</v>
      </c>
    </row>
    <row r="755" spans="2:39" x14ac:dyDescent="0.25">
      <c r="B755" s="18" t="s">
        <v>4040</v>
      </c>
      <c r="C755" s="44" t="s">
        <v>411</v>
      </c>
      <c r="D755" s="20" t="s">
        <v>3431</v>
      </c>
      <c r="E755" s="67" t="s">
        <v>3</v>
      </c>
      <c r="F755" s="51" t="s">
        <v>1157</v>
      </c>
      <c r="G755" s="37" t="s">
        <v>3</v>
      </c>
      <c r="H755" s="68" t="s">
        <v>3842</v>
      </c>
      <c r="I755" s="62" t="s">
        <v>1157</v>
      </c>
      <c r="J755" s="61" t="s">
        <v>3</v>
      </c>
      <c r="K755" s="4">
        <v>4000000</v>
      </c>
      <c r="L755" s="39">
        <v>108.523</v>
      </c>
      <c r="M755" s="4">
        <v>4340920</v>
      </c>
      <c r="N755" s="4">
        <v>4000000</v>
      </c>
      <c r="O755" s="4">
        <v>4000000</v>
      </c>
      <c r="P755" s="4">
        <v>0</v>
      </c>
      <c r="Q755" s="4">
        <v>0</v>
      </c>
      <c r="R755" s="4">
        <v>0</v>
      </c>
      <c r="S755" s="4">
        <v>0</v>
      </c>
      <c r="T755" s="23">
        <v>3.88</v>
      </c>
      <c r="U755" s="23">
        <v>3.88</v>
      </c>
      <c r="V755" s="5" t="s">
        <v>3844</v>
      </c>
      <c r="W755" s="4">
        <v>10778</v>
      </c>
      <c r="X755" s="4">
        <v>155200</v>
      </c>
      <c r="Y755" s="11">
        <v>43075</v>
      </c>
      <c r="Z755" s="11">
        <v>45632</v>
      </c>
      <c r="AA755" s="2"/>
      <c r="AB755" s="63" t="s">
        <v>1684</v>
      </c>
      <c r="AC755" s="5" t="s">
        <v>3</v>
      </c>
      <c r="AD755" s="2"/>
      <c r="AE755" s="9"/>
      <c r="AF755" s="23"/>
      <c r="AG755" s="9"/>
      <c r="AH755" s="5" t="s">
        <v>3</v>
      </c>
      <c r="AI755" s="5" t="s">
        <v>3431</v>
      </c>
      <c r="AJ755" s="5" t="s">
        <v>3</v>
      </c>
      <c r="AK755" s="16" t="s">
        <v>3</v>
      </c>
      <c r="AL755" s="65" t="s">
        <v>3842</v>
      </c>
      <c r="AM755" s="31" t="s">
        <v>2821</v>
      </c>
    </row>
    <row r="756" spans="2:39" x14ac:dyDescent="0.25">
      <c r="B756" s="18" t="s">
        <v>739</v>
      </c>
      <c r="C756" s="44" t="s">
        <v>139</v>
      </c>
      <c r="D756" s="20" t="s">
        <v>1844</v>
      </c>
      <c r="E756" s="67" t="s">
        <v>3</v>
      </c>
      <c r="F756" s="51" t="s">
        <v>1157</v>
      </c>
      <c r="G756" s="37" t="s">
        <v>3</v>
      </c>
      <c r="H756" s="68" t="s">
        <v>3842</v>
      </c>
      <c r="I756" s="62" t="s">
        <v>1157</v>
      </c>
      <c r="J756" s="61" t="s">
        <v>3</v>
      </c>
      <c r="K756" s="4">
        <v>5000000</v>
      </c>
      <c r="L756" s="39">
        <v>99.542000000000002</v>
      </c>
      <c r="M756" s="4">
        <v>4977100</v>
      </c>
      <c r="N756" s="4">
        <v>5000000</v>
      </c>
      <c r="O756" s="4">
        <v>5000000</v>
      </c>
      <c r="P756" s="4">
        <v>0</v>
      </c>
      <c r="Q756" s="4">
        <v>0</v>
      </c>
      <c r="R756" s="4">
        <v>0</v>
      </c>
      <c r="S756" s="4">
        <v>0</v>
      </c>
      <c r="T756" s="23">
        <v>4.17</v>
      </c>
      <c r="U756" s="23">
        <v>4.17</v>
      </c>
      <c r="V756" s="5" t="s">
        <v>12</v>
      </c>
      <c r="W756" s="4">
        <v>54442</v>
      </c>
      <c r="X756" s="4">
        <v>219000</v>
      </c>
      <c r="Y756" s="11">
        <v>43186</v>
      </c>
      <c r="Z756" s="11">
        <v>45743</v>
      </c>
      <c r="AA756" s="2"/>
      <c r="AB756" s="63" t="s">
        <v>643</v>
      </c>
      <c r="AC756" s="5" t="s">
        <v>1417</v>
      </c>
      <c r="AD756" s="2"/>
      <c r="AE756" s="6"/>
      <c r="AF756" s="23"/>
      <c r="AG756" s="9"/>
      <c r="AH756" s="5" t="s">
        <v>2325</v>
      </c>
      <c r="AI756" s="5" t="s">
        <v>1844</v>
      </c>
      <c r="AJ756" s="5" t="s">
        <v>3</v>
      </c>
      <c r="AK756" s="16" t="s">
        <v>3</v>
      </c>
      <c r="AL756" s="65" t="s">
        <v>3842</v>
      </c>
      <c r="AM756" s="31" t="s">
        <v>2821</v>
      </c>
    </row>
    <row r="757" spans="2:39" x14ac:dyDescent="0.25">
      <c r="B757" s="18" t="s">
        <v>1845</v>
      </c>
      <c r="C757" s="44" t="s">
        <v>3214</v>
      </c>
      <c r="D757" s="20" t="s">
        <v>2572</v>
      </c>
      <c r="E757" s="67" t="s">
        <v>3</v>
      </c>
      <c r="F757" s="51" t="s">
        <v>2218</v>
      </c>
      <c r="G757" s="37" t="s">
        <v>3</v>
      </c>
      <c r="H757" s="68" t="s">
        <v>3842</v>
      </c>
      <c r="I757" s="62" t="s">
        <v>1157</v>
      </c>
      <c r="J757" s="61" t="s">
        <v>952</v>
      </c>
      <c r="K757" s="4">
        <v>5000000</v>
      </c>
      <c r="L757" s="39">
        <v>102.979</v>
      </c>
      <c r="M757" s="4">
        <v>5148950</v>
      </c>
      <c r="N757" s="4">
        <v>5000000</v>
      </c>
      <c r="O757" s="4">
        <v>5000000</v>
      </c>
      <c r="P757" s="4">
        <v>0</v>
      </c>
      <c r="Q757" s="4">
        <v>0</v>
      </c>
      <c r="R757" s="4">
        <v>0</v>
      </c>
      <c r="S757" s="4">
        <v>0</v>
      </c>
      <c r="T757" s="23">
        <v>2.3199999999999998</v>
      </c>
      <c r="U757" s="23">
        <v>2.3199999999999998</v>
      </c>
      <c r="V757" s="5" t="s">
        <v>3844</v>
      </c>
      <c r="W757" s="4">
        <v>7411</v>
      </c>
      <c r="X757" s="4">
        <v>0</v>
      </c>
      <c r="Y757" s="11">
        <v>44173</v>
      </c>
      <c r="Z757" s="11">
        <v>45268</v>
      </c>
      <c r="AA757" s="2"/>
      <c r="AB757" s="63" t="s">
        <v>1684</v>
      </c>
      <c r="AC757" s="5" t="s">
        <v>3</v>
      </c>
      <c r="AD757" s="2"/>
      <c r="AE757" s="9"/>
      <c r="AF757" s="23"/>
      <c r="AG757" s="9"/>
      <c r="AH757" s="5" t="s">
        <v>3</v>
      </c>
      <c r="AI757" s="5" t="s">
        <v>1253</v>
      </c>
      <c r="AJ757" s="5" t="s">
        <v>1253</v>
      </c>
      <c r="AK757" s="16" t="s">
        <v>3</v>
      </c>
      <c r="AL757" s="65" t="s">
        <v>3842</v>
      </c>
      <c r="AM757" s="31" t="s">
        <v>1036</v>
      </c>
    </row>
    <row r="758" spans="2:39" x14ac:dyDescent="0.25">
      <c r="B758" s="18" t="s">
        <v>3215</v>
      </c>
      <c r="C758" s="44" t="s">
        <v>2924</v>
      </c>
      <c r="D758" s="20" t="s">
        <v>1254</v>
      </c>
      <c r="E758" s="67" t="s">
        <v>3</v>
      </c>
      <c r="F758" s="51" t="s">
        <v>1157</v>
      </c>
      <c r="G758" s="37" t="s">
        <v>3</v>
      </c>
      <c r="H758" s="68" t="s">
        <v>929</v>
      </c>
      <c r="I758" s="62" t="s">
        <v>1157</v>
      </c>
      <c r="J758" s="61" t="s">
        <v>952</v>
      </c>
      <c r="K758" s="4">
        <v>10000000</v>
      </c>
      <c r="L758" s="39">
        <v>76.75</v>
      </c>
      <c r="M758" s="4">
        <v>7675000</v>
      </c>
      <c r="N758" s="4">
        <v>10000000</v>
      </c>
      <c r="O758" s="4">
        <v>7675000</v>
      </c>
      <c r="P758" s="4">
        <v>-2325000</v>
      </c>
      <c r="Q758" s="4">
        <v>0</v>
      </c>
      <c r="R758" s="4">
        <v>0</v>
      </c>
      <c r="S758" s="4">
        <v>0</v>
      </c>
      <c r="T758" s="23">
        <v>5.12</v>
      </c>
      <c r="U758" s="23">
        <v>5.12</v>
      </c>
      <c r="V758" s="5" t="s">
        <v>248</v>
      </c>
      <c r="W758" s="4">
        <v>176356</v>
      </c>
      <c r="X758" s="4">
        <v>269750</v>
      </c>
      <c r="Y758" s="11">
        <v>43888</v>
      </c>
      <c r="Z758" s="11">
        <v>46810</v>
      </c>
      <c r="AA758" s="2"/>
      <c r="AB758" s="63" t="s">
        <v>643</v>
      </c>
      <c r="AC758" s="5" t="s">
        <v>1417</v>
      </c>
      <c r="AD758" s="2"/>
      <c r="AE758" s="9"/>
      <c r="AF758" s="23"/>
      <c r="AG758" s="9"/>
      <c r="AH758" s="5" t="s">
        <v>412</v>
      </c>
      <c r="AI758" s="5" t="s">
        <v>1846</v>
      </c>
      <c r="AJ758" s="5" t="s">
        <v>1057</v>
      </c>
      <c r="AK758" s="16" t="s">
        <v>3</v>
      </c>
      <c r="AL758" s="65" t="s">
        <v>2715</v>
      </c>
      <c r="AM758" s="31" t="s">
        <v>740</v>
      </c>
    </row>
    <row r="759" spans="2:39" x14ac:dyDescent="0.25">
      <c r="B759" s="18" t="s">
        <v>4344</v>
      </c>
      <c r="C759" s="44" t="s">
        <v>2131</v>
      </c>
      <c r="D759" s="20" t="s">
        <v>2573</v>
      </c>
      <c r="E759" s="67" t="s">
        <v>3</v>
      </c>
      <c r="F759" s="51" t="s">
        <v>1157</v>
      </c>
      <c r="G759" s="37" t="s">
        <v>3</v>
      </c>
      <c r="H759" s="68" t="s">
        <v>3842</v>
      </c>
      <c r="I759" s="62" t="s">
        <v>1157</v>
      </c>
      <c r="J759" s="61" t="s">
        <v>3</v>
      </c>
      <c r="K759" s="4">
        <v>2000000</v>
      </c>
      <c r="L759" s="39">
        <v>100.294</v>
      </c>
      <c r="M759" s="4">
        <v>2005880</v>
      </c>
      <c r="N759" s="4">
        <v>2000000</v>
      </c>
      <c r="O759" s="4">
        <v>2000000</v>
      </c>
      <c r="P759" s="4">
        <v>0</v>
      </c>
      <c r="Q759" s="4">
        <v>0</v>
      </c>
      <c r="R759" s="4">
        <v>0</v>
      </c>
      <c r="S759" s="4">
        <v>0</v>
      </c>
      <c r="T759" s="23">
        <v>4.37</v>
      </c>
      <c r="U759" s="23">
        <v>4.37</v>
      </c>
      <c r="V759" s="5" t="s">
        <v>1982</v>
      </c>
      <c r="W759" s="4">
        <v>43457</v>
      </c>
      <c r="X759" s="4">
        <v>87400</v>
      </c>
      <c r="Y759" s="11">
        <v>43648</v>
      </c>
      <c r="Z759" s="11">
        <v>44744</v>
      </c>
      <c r="AA759" s="2"/>
      <c r="AB759" s="63" t="s">
        <v>643</v>
      </c>
      <c r="AC759" s="5" t="s">
        <v>1417</v>
      </c>
      <c r="AD759" s="2"/>
      <c r="AE759" s="6"/>
      <c r="AF759" s="23"/>
      <c r="AG759" s="9"/>
      <c r="AH759" s="5" t="s">
        <v>2326</v>
      </c>
      <c r="AI759" s="5" t="s">
        <v>2573</v>
      </c>
      <c r="AJ759" s="5" t="s">
        <v>3</v>
      </c>
      <c r="AK759" s="16" t="s">
        <v>3</v>
      </c>
      <c r="AL759" s="65" t="s">
        <v>3842</v>
      </c>
      <c r="AM759" s="31" t="s">
        <v>2821</v>
      </c>
    </row>
    <row r="760" spans="2:39" x14ac:dyDescent="0.25">
      <c r="B760" s="18" t="s">
        <v>1058</v>
      </c>
      <c r="C760" s="44" t="s">
        <v>3216</v>
      </c>
      <c r="D760" s="20" t="s">
        <v>3679</v>
      </c>
      <c r="E760" s="67" t="s">
        <v>3</v>
      </c>
      <c r="F760" s="51" t="s">
        <v>1157</v>
      </c>
      <c r="G760" s="37" t="s">
        <v>3</v>
      </c>
      <c r="H760" s="68" t="s">
        <v>929</v>
      </c>
      <c r="I760" s="62" t="s">
        <v>1157</v>
      </c>
      <c r="J760" s="61" t="s">
        <v>3</v>
      </c>
      <c r="K760" s="4">
        <v>2526315</v>
      </c>
      <c r="L760" s="39">
        <v>95.096999999999994</v>
      </c>
      <c r="M760" s="4">
        <v>2402451</v>
      </c>
      <c r="N760" s="4">
        <v>2526315</v>
      </c>
      <c r="O760" s="4">
        <v>2402451</v>
      </c>
      <c r="P760" s="4">
        <v>-123865</v>
      </c>
      <c r="Q760" s="4">
        <v>0</v>
      </c>
      <c r="R760" s="4">
        <v>0</v>
      </c>
      <c r="S760" s="4">
        <v>0</v>
      </c>
      <c r="T760" s="23">
        <v>2.4</v>
      </c>
      <c r="U760" s="23">
        <v>2.407</v>
      </c>
      <c r="V760" s="5" t="s">
        <v>3432</v>
      </c>
      <c r="W760" s="4">
        <v>13305</v>
      </c>
      <c r="X760" s="4">
        <v>60631</v>
      </c>
      <c r="Y760" s="11">
        <v>42837</v>
      </c>
      <c r="Z760" s="11">
        <v>46307</v>
      </c>
      <c r="AA760" s="2"/>
      <c r="AB760" s="63" t="s">
        <v>643</v>
      </c>
      <c r="AC760" s="5" t="s">
        <v>1417</v>
      </c>
      <c r="AD760" s="2"/>
      <c r="AE760" s="6"/>
      <c r="AF760" s="23"/>
      <c r="AG760" s="9"/>
      <c r="AH760" s="5" t="s">
        <v>3</v>
      </c>
      <c r="AI760" s="5" t="s">
        <v>1059</v>
      </c>
      <c r="AJ760" s="5" t="s">
        <v>3433</v>
      </c>
      <c r="AK760" s="16" t="s">
        <v>3</v>
      </c>
      <c r="AL760" s="65" t="s">
        <v>2715</v>
      </c>
      <c r="AM760" s="31" t="s">
        <v>741</v>
      </c>
    </row>
    <row r="761" spans="2:39" x14ac:dyDescent="0.25">
      <c r="B761" s="18" t="s">
        <v>2132</v>
      </c>
      <c r="C761" s="44" t="s">
        <v>2925</v>
      </c>
      <c r="D761" s="20" t="s">
        <v>140</v>
      </c>
      <c r="E761" s="67" t="s">
        <v>3</v>
      </c>
      <c r="F761" s="51" t="s">
        <v>1157</v>
      </c>
      <c r="G761" s="37" t="s">
        <v>3</v>
      </c>
      <c r="H761" s="68" t="s">
        <v>3842</v>
      </c>
      <c r="I761" s="62" t="s">
        <v>10</v>
      </c>
      <c r="J761" s="61" t="s">
        <v>250</v>
      </c>
      <c r="K761" s="4">
        <v>10000000</v>
      </c>
      <c r="L761" s="39">
        <v>109.339</v>
      </c>
      <c r="M761" s="4">
        <v>10933900</v>
      </c>
      <c r="N761" s="4">
        <v>10000000</v>
      </c>
      <c r="O761" s="4">
        <v>10000000</v>
      </c>
      <c r="P761" s="4">
        <v>0</v>
      </c>
      <c r="Q761" s="4">
        <v>0</v>
      </c>
      <c r="R761" s="4">
        <v>0</v>
      </c>
      <c r="S761" s="4">
        <v>0</v>
      </c>
      <c r="T761" s="23">
        <v>3.66</v>
      </c>
      <c r="U761" s="23">
        <v>3.661</v>
      </c>
      <c r="V761" s="5" t="s">
        <v>3844</v>
      </c>
      <c r="W761" s="4">
        <v>11183</v>
      </c>
      <c r="X761" s="4">
        <v>366000</v>
      </c>
      <c r="Y761" s="11">
        <v>43039</v>
      </c>
      <c r="Z761" s="11">
        <v>45596</v>
      </c>
      <c r="AA761" s="2"/>
      <c r="AB761" s="63" t="s">
        <v>2748</v>
      </c>
      <c r="AC761" s="5" t="s">
        <v>3</v>
      </c>
      <c r="AD761" s="2"/>
      <c r="AE761" s="9"/>
      <c r="AF761" s="23"/>
      <c r="AG761" s="9"/>
      <c r="AH761" s="5" t="s">
        <v>3</v>
      </c>
      <c r="AI761" s="5" t="s">
        <v>140</v>
      </c>
      <c r="AJ761" s="5" t="s">
        <v>3</v>
      </c>
      <c r="AK761" s="16" t="s">
        <v>3</v>
      </c>
      <c r="AL761" s="65" t="s">
        <v>3842</v>
      </c>
      <c r="AM761" s="31" t="s">
        <v>1176</v>
      </c>
    </row>
    <row r="762" spans="2:39" x14ac:dyDescent="0.25">
      <c r="B762" s="18" t="s">
        <v>3217</v>
      </c>
      <c r="C762" s="44" t="s">
        <v>1255</v>
      </c>
      <c r="D762" s="20" t="s">
        <v>1060</v>
      </c>
      <c r="E762" s="67" t="s">
        <v>3</v>
      </c>
      <c r="F762" s="51" t="s">
        <v>1157</v>
      </c>
      <c r="G762" s="37" t="s">
        <v>3</v>
      </c>
      <c r="H762" s="68" t="s">
        <v>3842</v>
      </c>
      <c r="I762" s="62" t="s">
        <v>1157</v>
      </c>
      <c r="J762" s="61" t="s">
        <v>250</v>
      </c>
      <c r="K762" s="4">
        <v>6000000</v>
      </c>
      <c r="L762" s="39">
        <v>98.337000000000003</v>
      </c>
      <c r="M762" s="4">
        <v>5900220</v>
      </c>
      <c r="N762" s="4">
        <v>6000000</v>
      </c>
      <c r="O762" s="4">
        <v>6000000</v>
      </c>
      <c r="P762" s="4">
        <v>0</v>
      </c>
      <c r="Q762" s="4">
        <v>0</v>
      </c>
      <c r="R762" s="4">
        <v>0</v>
      </c>
      <c r="S762" s="4">
        <v>0</v>
      </c>
      <c r="T762" s="23">
        <v>2.77</v>
      </c>
      <c r="U762" s="23">
        <v>2.7709999999999999</v>
      </c>
      <c r="V762" s="5" t="s">
        <v>248</v>
      </c>
      <c r="W762" s="4">
        <v>64633</v>
      </c>
      <c r="X762" s="4">
        <v>166200</v>
      </c>
      <c r="Y762" s="11">
        <v>42107</v>
      </c>
      <c r="Z762" s="11">
        <v>44664</v>
      </c>
      <c r="AA762" s="2"/>
      <c r="AB762" s="63" t="s">
        <v>643</v>
      </c>
      <c r="AC762" s="5" t="s">
        <v>1417</v>
      </c>
      <c r="AD762" s="2"/>
      <c r="AE762" s="9"/>
      <c r="AF762" s="23"/>
      <c r="AG762" s="9"/>
      <c r="AH762" s="5" t="s">
        <v>3</v>
      </c>
      <c r="AI762" s="5" t="s">
        <v>1060</v>
      </c>
      <c r="AJ762" s="5" t="s">
        <v>3</v>
      </c>
      <c r="AK762" s="16" t="s">
        <v>3</v>
      </c>
      <c r="AL762" s="65" t="s">
        <v>3842</v>
      </c>
      <c r="AM762" s="31" t="s">
        <v>926</v>
      </c>
    </row>
    <row r="763" spans="2:39" x14ac:dyDescent="0.25">
      <c r="B763" s="18" t="s">
        <v>4345</v>
      </c>
      <c r="C763" s="44" t="s">
        <v>1061</v>
      </c>
      <c r="D763" s="20" t="s">
        <v>4041</v>
      </c>
      <c r="E763" s="67" t="s">
        <v>3</v>
      </c>
      <c r="F763" s="51" t="s">
        <v>1157</v>
      </c>
      <c r="G763" s="37" t="s">
        <v>3</v>
      </c>
      <c r="H763" s="68" t="s">
        <v>3842</v>
      </c>
      <c r="I763" s="62" t="s">
        <v>3310</v>
      </c>
      <c r="J763" s="61" t="s">
        <v>3</v>
      </c>
      <c r="K763" s="4">
        <v>5000000</v>
      </c>
      <c r="L763" s="39">
        <v>105.49</v>
      </c>
      <c r="M763" s="4">
        <v>5274500</v>
      </c>
      <c r="N763" s="4">
        <v>5000000</v>
      </c>
      <c r="O763" s="4">
        <v>5000000</v>
      </c>
      <c r="P763" s="4">
        <v>0</v>
      </c>
      <c r="Q763" s="4">
        <v>0</v>
      </c>
      <c r="R763" s="4">
        <v>0</v>
      </c>
      <c r="S763" s="4">
        <v>0</v>
      </c>
      <c r="T763" s="23">
        <v>3.38</v>
      </c>
      <c r="U763" s="23">
        <v>3.38</v>
      </c>
      <c r="V763" s="5" t="s">
        <v>12</v>
      </c>
      <c r="W763" s="4">
        <v>46475</v>
      </c>
      <c r="X763" s="4">
        <v>169000</v>
      </c>
      <c r="Y763" s="11">
        <v>43181</v>
      </c>
      <c r="Z763" s="11">
        <v>45007</v>
      </c>
      <c r="AA763" s="2"/>
      <c r="AB763" s="63" t="s">
        <v>1684</v>
      </c>
      <c r="AC763" s="5" t="s">
        <v>3</v>
      </c>
      <c r="AD763" s="2"/>
      <c r="AE763" s="9"/>
      <c r="AF763" s="23"/>
      <c r="AG763" s="9"/>
      <c r="AH763" s="5" t="s">
        <v>3680</v>
      </c>
      <c r="AI763" s="5" t="s">
        <v>2327</v>
      </c>
      <c r="AJ763" s="5" t="s">
        <v>3434</v>
      </c>
      <c r="AK763" s="16" t="s">
        <v>3</v>
      </c>
      <c r="AL763" s="65" t="s">
        <v>2715</v>
      </c>
      <c r="AM763" s="31" t="s">
        <v>309</v>
      </c>
    </row>
    <row r="764" spans="2:39" x14ac:dyDescent="0.25">
      <c r="B764" s="18" t="s">
        <v>1847</v>
      </c>
      <c r="C764" s="44" t="s">
        <v>1062</v>
      </c>
      <c r="D764" s="20" t="s">
        <v>4041</v>
      </c>
      <c r="E764" s="67" t="s">
        <v>3</v>
      </c>
      <c r="F764" s="51" t="s">
        <v>1157</v>
      </c>
      <c r="G764" s="37" t="s">
        <v>3</v>
      </c>
      <c r="H764" s="68" t="s">
        <v>3842</v>
      </c>
      <c r="I764" s="62" t="s">
        <v>3310</v>
      </c>
      <c r="J764" s="61" t="s">
        <v>3</v>
      </c>
      <c r="K764" s="4">
        <v>7000000</v>
      </c>
      <c r="L764" s="39">
        <v>109.773</v>
      </c>
      <c r="M764" s="4">
        <v>7684110</v>
      </c>
      <c r="N764" s="4">
        <v>7000000</v>
      </c>
      <c r="O764" s="4">
        <v>7000000</v>
      </c>
      <c r="P764" s="4">
        <v>0</v>
      </c>
      <c r="Q764" s="4">
        <v>0</v>
      </c>
      <c r="R764" s="4">
        <v>0</v>
      </c>
      <c r="S764" s="4">
        <v>0</v>
      </c>
      <c r="T764" s="23">
        <v>3.57</v>
      </c>
      <c r="U764" s="23">
        <v>3.57</v>
      </c>
      <c r="V764" s="5" t="s">
        <v>12</v>
      </c>
      <c r="W764" s="4">
        <v>68723</v>
      </c>
      <c r="X764" s="4">
        <v>249900</v>
      </c>
      <c r="Y764" s="11">
        <v>43181</v>
      </c>
      <c r="Z764" s="11">
        <v>45738</v>
      </c>
      <c r="AA764" s="2"/>
      <c r="AB764" s="63" t="s">
        <v>1684</v>
      </c>
      <c r="AC764" s="5" t="s">
        <v>3</v>
      </c>
      <c r="AD764" s="2"/>
      <c r="AE764" s="9"/>
      <c r="AF764" s="23"/>
      <c r="AG764" s="9"/>
      <c r="AH764" s="5" t="s">
        <v>3680</v>
      </c>
      <c r="AI764" s="5" t="s">
        <v>2327</v>
      </c>
      <c r="AJ764" s="5" t="s">
        <v>3434</v>
      </c>
      <c r="AK764" s="16" t="s">
        <v>3</v>
      </c>
      <c r="AL764" s="65" t="s">
        <v>2715</v>
      </c>
      <c r="AM764" s="31" t="s">
        <v>309</v>
      </c>
    </row>
    <row r="765" spans="2:39" x14ac:dyDescent="0.25">
      <c r="B765" s="18" t="s">
        <v>2926</v>
      </c>
      <c r="C765" s="44" t="s">
        <v>1848</v>
      </c>
      <c r="D765" s="20" t="s">
        <v>4346</v>
      </c>
      <c r="E765" s="67" t="s">
        <v>3</v>
      </c>
      <c r="F765" s="51" t="s">
        <v>1157</v>
      </c>
      <c r="G765" s="37" t="s">
        <v>3</v>
      </c>
      <c r="H765" s="68" t="s">
        <v>929</v>
      </c>
      <c r="I765" s="62" t="s">
        <v>3310</v>
      </c>
      <c r="J765" s="61" t="s">
        <v>2244</v>
      </c>
      <c r="K765" s="4">
        <v>1395000</v>
      </c>
      <c r="L765" s="39">
        <v>100.523</v>
      </c>
      <c r="M765" s="4">
        <v>1402296</v>
      </c>
      <c r="N765" s="4">
        <v>1395000</v>
      </c>
      <c r="O765" s="4">
        <v>1395001</v>
      </c>
      <c r="P765" s="4">
        <v>0</v>
      </c>
      <c r="Q765" s="4">
        <v>0</v>
      </c>
      <c r="R765" s="4">
        <v>0</v>
      </c>
      <c r="S765" s="4">
        <v>0</v>
      </c>
      <c r="T765" s="23">
        <v>3.5</v>
      </c>
      <c r="U765" s="23">
        <v>3.5009999999999999</v>
      </c>
      <c r="V765" s="5" t="s">
        <v>3844</v>
      </c>
      <c r="W765" s="4">
        <v>2170</v>
      </c>
      <c r="X765" s="4">
        <v>48824</v>
      </c>
      <c r="Y765" s="11">
        <v>41943</v>
      </c>
      <c r="Z765" s="11">
        <v>44545</v>
      </c>
      <c r="AA765" s="2"/>
      <c r="AB765" s="63" t="s">
        <v>643</v>
      </c>
      <c r="AC765" s="5" t="s">
        <v>1417</v>
      </c>
      <c r="AD765" s="2"/>
      <c r="AE765" s="9"/>
      <c r="AF765" s="23"/>
      <c r="AG765" s="9"/>
      <c r="AH765" s="5" t="s">
        <v>3</v>
      </c>
      <c r="AI765" s="5" t="s">
        <v>4346</v>
      </c>
      <c r="AJ765" s="5" t="s">
        <v>3</v>
      </c>
      <c r="AK765" s="16" t="s">
        <v>3</v>
      </c>
      <c r="AL765" s="65" t="s">
        <v>3842</v>
      </c>
      <c r="AM765" s="31" t="s">
        <v>2574</v>
      </c>
    </row>
    <row r="766" spans="2:39" x14ac:dyDescent="0.25">
      <c r="B766" s="18" t="s">
        <v>4347</v>
      </c>
      <c r="C766" s="44" t="s">
        <v>3435</v>
      </c>
      <c r="D766" s="20" t="s">
        <v>3436</v>
      </c>
      <c r="E766" s="67" t="s">
        <v>3</v>
      </c>
      <c r="F766" s="51" t="s">
        <v>1157</v>
      </c>
      <c r="G766" s="37" t="s">
        <v>3</v>
      </c>
      <c r="H766" s="68" t="s">
        <v>3842</v>
      </c>
      <c r="I766" s="62" t="s">
        <v>1157</v>
      </c>
      <c r="J766" s="61" t="s">
        <v>952</v>
      </c>
      <c r="K766" s="4">
        <v>2000000</v>
      </c>
      <c r="L766" s="39">
        <v>109.52</v>
      </c>
      <c r="M766" s="4">
        <v>2190400</v>
      </c>
      <c r="N766" s="4">
        <v>2000000</v>
      </c>
      <c r="O766" s="4">
        <v>2000000</v>
      </c>
      <c r="P766" s="4">
        <v>0</v>
      </c>
      <c r="Q766" s="4">
        <v>0</v>
      </c>
      <c r="R766" s="4">
        <v>0</v>
      </c>
      <c r="S766" s="4">
        <v>0</v>
      </c>
      <c r="T766" s="23">
        <v>3.89</v>
      </c>
      <c r="U766" s="23">
        <v>3.89</v>
      </c>
      <c r="V766" s="5" t="s">
        <v>3844</v>
      </c>
      <c r="W766" s="4">
        <v>2161</v>
      </c>
      <c r="X766" s="4">
        <v>0</v>
      </c>
      <c r="Y766" s="11">
        <v>44186</v>
      </c>
      <c r="Z766" s="11">
        <v>46192</v>
      </c>
      <c r="AA766" s="2"/>
      <c r="AB766" s="63" t="s">
        <v>1684</v>
      </c>
      <c r="AC766" s="5" t="s">
        <v>3</v>
      </c>
      <c r="AD766" s="2"/>
      <c r="AE766" s="9"/>
      <c r="AF766" s="23"/>
      <c r="AG766" s="9"/>
      <c r="AH766" s="5" t="s">
        <v>3</v>
      </c>
      <c r="AI766" s="5" t="s">
        <v>3681</v>
      </c>
      <c r="AJ766" s="5" t="s">
        <v>3682</v>
      </c>
      <c r="AK766" s="16" t="s">
        <v>3</v>
      </c>
      <c r="AL766" s="65" t="s">
        <v>929</v>
      </c>
      <c r="AM766" s="31" t="s">
        <v>1036</v>
      </c>
    </row>
    <row r="767" spans="2:39" x14ac:dyDescent="0.25">
      <c r="B767" s="18" t="s">
        <v>1063</v>
      </c>
      <c r="C767" s="44" t="s">
        <v>2927</v>
      </c>
      <c r="D767" s="20" t="s">
        <v>2133</v>
      </c>
      <c r="E767" s="67" t="s">
        <v>3</v>
      </c>
      <c r="F767" s="51" t="s">
        <v>1157</v>
      </c>
      <c r="G767" s="37" t="s">
        <v>3</v>
      </c>
      <c r="H767" s="68" t="s">
        <v>3842</v>
      </c>
      <c r="I767" s="62" t="s">
        <v>10</v>
      </c>
      <c r="J767" s="61" t="s">
        <v>3</v>
      </c>
      <c r="K767" s="4">
        <v>8000000</v>
      </c>
      <c r="L767" s="39">
        <v>103.621</v>
      </c>
      <c r="M767" s="4">
        <v>8289680</v>
      </c>
      <c r="N767" s="4">
        <v>8000000</v>
      </c>
      <c r="O767" s="4">
        <v>8000000</v>
      </c>
      <c r="P767" s="4">
        <v>0</v>
      </c>
      <c r="Q767" s="4">
        <v>0</v>
      </c>
      <c r="R767" s="4">
        <v>0</v>
      </c>
      <c r="S767" s="4">
        <v>0</v>
      </c>
      <c r="T767" s="23">
        <v>3.11</v>
      </c>
      <c r="U767" s="23">
        <v>3.11</v>
      </c>
      <c r="V767" s="5" t="s">
        <v>248</v>
      </c>
      <c r="W767" s="4">
        <v>91918</v>
      </c>
      <c r="X767" s="4">
        <v>248800</v>
      </c>
      <c r="Y767" s="11">
        <v>42234</v>
      </c>
      <c r="Z767" s="11">
        <v>44791</v>
      </c>
      <c r="AA767" s="2"/>
      <c r="AB767" s="63" t="s">
        <v>1684</v>
      </c>
      <c r="AC767" s="5" t="s">
        <v>3</v>
      </c>
      <c r="AD767" s="2"/>
      <c r="AE767" s="9"/>
      <c r="AF767" s="23"/>
      <c r="AG767" s="9"/>
      <c r="AH767" s="5" t="s">
        <v>3</v>
      </c>
      <c r="AI767" s="5" t="s">
        <v>2133</v>
      </c>
      <c r="AJ767" s="5" t="s">
        <v>3</v>
      </c>
      <c r="AK767" s="16" t="s">
        <v>3</v>
      </c>
      <c r="AL767" s="65" t="s">
        <v>3842</v>
      </c>
      <c r="AM767" s="31" t="s">
        <v>1438</v>
      </c>
    </row>
    <row r="768" spans="2:39" x14ac:dyDescent="0.25">
      <c r="B768" s="18" t="s">
        <v>2134</v>
      </c>
      <c r="C768" s="44" t="s">
        <v>2135</v>
      </c>
      <c r="D768" s="20" t="s">
        <v>2928</v>
      </c>
      <c r="E768" s="67" t="s">
        <v>3</v>
      </c>
      <c r="F768" s="51" t="s">
        <v>1157</v>
      </c>
      <c r="G768" s="37" t="s">
        <v>3</v>
      </c>
      <c r="H768" s="68" t="s">
        <v>3842</v>
      </c>
      <c r="I768" s="62" t="s">
        <v>1157</v>
      </c>
      <c r="J768" s="61" t="s">
        <v>2244</v>
      </c>
      <c r="K768" s="4">
        <v>7000000</v>
      </c>
      <c r="L768" s="39">
        <v>100.081</v>
      </c>
      <c r="M768" s="4">
        <v>7005670</v>
      </c>
      <c r="N768" s="4">
        <v>7000000</v>
      </c>
      <c r="O768" s="4">
        <v>7000000</v>
      </c>
      <c r="P768" s="4">
        <v>0</v>
      </c>
      <c r="Q768" s="4">
        <v>0</v>
      </c>
      <c r="R768" s="4">
        <v>0</v>
      </c>
      <c r="S768" s="4">
        <v>0</v>
      </c>
      <c r="T768" s="23">
        <v>3.83</v>
      </c>
      <c r="U768" s="23">
        <v>3.83</v>
      </c>
      <c r="V768" s="5" t="s">
        <v>1982</v>
      </c>
      <c r="W768" s="4">
        <v>131816</v>
      </c>
      <c r="X768" s="4">
        <v>268100</v>
      </c>
      <c r="Y768" s="11">
        <v>43104</v>
      </c>
      <c r="Z768" s="11">
        <v>46026</v>
      </c>
      <c r="AA768" s="2"/>
      <c r="AB768" s="63" t="s">
        <v>643</v>
      </c>
      <c r="AC768" s="5" t="s">
        <v>1417</v>
      </c>
      <c r="AD768" s="2"/>
      <c r="AE768" s="9"/>
      <c r="AF768" s="23"/>
      <c r="AG768" s="9"/>
      <c r="AH768" s="5" t="s">
        <v>3</v>
      </c>
      <c r="AI768" s="5" t="s">
        <v>2928</v>
      </c>
      <c r="AJ768" s="5" t="s">
        <v>3</v>
      </c>
      <c r="AK768" s="16" t="s">
        <v>3</v>
      </c>
      <c r="AL768" s="65" t="s">
        <v>2715</v>
      </c>
      <c r="AM768" s="31" t="s">
        <v>2833</v>
      </c>
    </row>
    <row r="769" spans="2:39" x14ac:dyDescent="0.25">
      <c r="B769" s="18" t="s">
        <v>3218</v>
      </c>
      <c r="C769" s="44" t="s">
        <v>2929</v>
      </c>
      <c r="D769" s="20" t="s">
        <v>3683</v>
      </c>
      <c r="E769" s="67" t="s">
        <v>3</v>
      </c>
      <c r="F769" s="51" t="s">
        <v>1157</v>
      </c>
      <c r="G769" s="37" t="s">
        <v>3</v>
      </c>
      <c r="H769" s="68" t="s">
        <v>3842</v>
      </c>
      <c r="I769" s="62" t="s">
        <v>10</v>
      </c>
      <c r="J769" s="61" t="s">
        <v>250</v>
      </c>
      <c r="K769" s="4">
        <v>4000000</v>
      </c>
      <c r="L769" s="39">
        <v>107.045</v>
      </c>
      <c r="M769" s="4">
        <v>4281800</v>
      </c>
      <c r="N769" s="4">
        <v>4000000</v>
      </c>
      <c r="O769" s="4">
        <v>4000000</v>
      </c>
      <c r="P769" s="4">
        <v>0</v>
      </c>
      <c r="Q769" s="4">
        <v>0</v>
      </c>
      <c r="R769" s="4">
        <v>0</v>
      </c>
      <c r="S769" s="4">
        <v>0</v>
      </c>
      <c r="T769" s="23">
        <v>4.12</v>
      </c>
      <c r="U769" s="23">
        <v>4.12</v>
      </c>
      <c r="V769" s="5" t="s">
        <v>12</v>
      </c>
      <c r="W769" s="4">
        <v>51729</v>
      </c>
      <c r="X769" s="4">
        <v>164800</v>
      </c>
      <c r="Y769" s="11">
        <v>43167</v>
      </c>
      <c r="Z769" s="11">
        <v>44993</v>
      </c>
      <c r="AA769" s="2"/>
      <c r="AB769" s="63" t="s">
        <v>2748</v>
      </c>
      <c r="AC769" s="5" t="s">
        <v>3</v>
      </c>
      <c r="AD769" s="2"/>
      <c r="AE769" s="6"/>
      <c r="AF769" s="23"/>
      <c r="AG769" s="9"/>
      <c r="AH769" s="5" t="s">
        <v>3</v>
      </c>
      <c r="AI769" s="5" t="s">
        <v>2136</v>
      </c>
      <c r="AJ769" s="5" t="s">
        <v>2328</v>
      </c>
      <c r="AK769" s="16" t="s">
        <v>3</v>
      </c>
      <c r="AL769" s="65" t="s">
        <v>3842</v>
      </c>
      <c r="AM769" s="31" t="s">
        <v>1176</v>
      </c>
    </row>
    <row r="770" spans="2:39" x14ac:dyDescent="0.25">
      <c r="B770" s="7" t="s">
        <v>2713</v>
      </c>
      <c r="C770" s="1" t="s">
        <v>2713</v>
      </c>
      <c r="D770" s="8" t="s">
        <v>2713</v>
      </c>
      <c r="E770" s="1" t="s">
        <v>2713</v>
      </c>
      <c r="F770" s="1" t="s">
        <v>2713</v>
      </c>
      <c r="G770" s="1" t="s">
        <v>2713</v>
      </c>
      <c r="H770" s="1" t="s">
        <v>2713</v>
      </c>
      <c r="I770" s="1" t="s">
        <v>2713</v>
      </c>
      <c r="J770" s="1" t="s">
        <v>2713</v>
      </c>
      <c r="K770" s="1" t="s">
        <v>2713</v>
      </c>
      <c r="L770" s="1" t="s">
        <v>2713</v>
      </c>
      <c r="M770" s="1" t="s">
        <v>2713</v>
      </c>
      <c r="N770" s="1" t="s">
        <v>2713</v>
      </c>
      <c r="O770" s="1" t="s">
        <v>2713</v>
      </c>
      <c r="P770" s="1" t="s">
        <v>2713</v>
      </c>
      <c r="Q770" s="1" t="s">
        <v>2713</v>
      </c>
      <c r="R770" s="1" t="s">
        <v>2713</v>
      </c>
      <c r="S770" s="1" t="s">
        <v>2713</v>
      </c>
      <c r="T770" s="1" t="s">
        <v>2713</v>
      </c>
      <c r="U770" s="1" t="s">
        <v>2713</v>
      </c>
      <c r="V770" s="1" t="s">
        <v>2713</v>
      </c>
      <c r="W770" s="1" t="s">
        <v>2713</v>
      </c>
      <c r="X770" s="1" t="s">
        <v>2713</v>
      </c>
      <c r="Y770" s="15" t="s">
        <v>2713</v>
      </c>
      <c r="Z770" s="15" t="s">
        <v>2713</v>
      </c>
      <c r="AA770" s="1" t="s">
        <v>2713</v>
      </c>
      <c r="AB770" s="1" t="s">
        <v>2713</v>
      </c>
      <c r="AC770" s="1" t="s">
        <v>2713</v>
      </c>
      <c r="AD770" s="1" t="s">
        <v>2713</v>
      </c>
      <c r="AE770" s="1" t="s">
        <v>2713</v>
      </c>
      <c r="AF770" s="1" t="s">
        <v>2713</v>
      </c>
      <c r="AG770" s="15" t="s">
        <v>2713</v>
      </c>
      <c r="AH770" s="1" t="s">
        <v>2713</v>
      </c>
      <c r="AI770" s="1" t="s">
        <v>2713</v>
      </c>
      <c r="AJ770" s="1" t="s">
        <v>2713</v>
      </c>
      <c r="AK770" s="1" t="s">
        <v>2713</v>
      </c>
      <c r="AL770" s="1" t="s">
        <v>2713</v>
      </c>
      <c r="AM770" s="1" t="s">
        <v>2713</v>
      </c>
    </row>
    <row r="771" spans="2:39" ht="55.2" x14ac:dyDescent="0.25">
      <c r="B771" s="21" t="s">
        <v>1849</v>
      </c>
      <c r="C771" s="19" t="s">
        <v>3219</v>
      </c>
      <c r="D771" s="17"/>
      <c r="E771" s="2"/>
      <c r="F771" s="2"/>
      <c r="G771" s="2"/>
      <c r="H771" s="2"/>
      <c r="I771" s="2"/>
      <c r="J771" s="2"/>
      <c r="K771" s="3">
        <f>SUM('GMIC_2020-Annu_SCDPT1'!SCDPT1_32BEGIN_7:'GMIC_2020-Annu_SCDPT1'!SCDPT1_32ENDIN_7)</f>
        <v>3236416302</v>
      </c>
      <c r="L771" s="2"/>
      <c r="M771" s="3">
        <f>SUM('GMIC_2020-Annu_SCDPT1'!SCDPT1_32BEGIN_9:'GMIC_2020-Annu_SCDPT1'!SCDPT1_32ENDIN_9)</f>
        <v>3454115046</v>
      </c>
      <c r="N771" s="3">
        <f>SUM('GMIC_2020-Annu_SCDPT1'!SCDPT1_32BEGIN_10:'GMIC_2020-Annu_SCDPT1'!SCDPT1_32ENDIN_10)</f>
        <v>3224401661</v>
      </c>
      <c r="O771" s="3">
        <f>SUM('GMIC_2020-Annu_SCDPT1'!SCDPT1_32BEGIN_11:'GMIC_2020-Annu_SCDPT1'!SCDPT1_32ENDIN_11)</f>
        <v>3232303334</v>
      </c>
      <c r="P771" s="3">
        <f>SUM('GMIC_2020-Annu_SCDPT1'!SCDPT1_32BEGIN_12:'GMIC_2020-Annu_SCDPT1'!SCDPT1_32ENDIN_12)</f>
        <v>-2180815</v>
      </c>
      <c r="Q771" s="3">
        <f>SUM('GMIC_2020-Annu_SCDPT1'!SCDPT1_32BEGIN_13:'GMIC_2020-Annu_SCDPT1'!SCDPT1_32ENDIN_13)</f>
        <v>-982172</v>
      </c>
      <c r="R771" s="3">
        <f>SUM('GMIC_2020-Annu_SCDPT1'!SCDPT1_32BEGIN_14:'GMIC_2020-Annu_SCDPT1'!SCDPT1_32ENDIN_14)</f>
        <v>0</v>
      </c>
      <c r="S771" s="3">
        <f>SUM('GMIC_2020-Annu_SCDPT1'!SCDPT1_32BEGIN_15:'GMIC_2020-Annu_SCDPT1'!SCDPT1_32ENDIN_15)</f>
        <v>0</v>
      </c>
      <c r="T771" s="2"/>
      <c r="U771" s="2"/>
      <c r="V771" s="2"/>
      <c r="W771" s="3">
        <f>SUM('GMIC_2020-Annu_SCDPT1'!SCDPT1_32BEGIN_19:'GMIC_2020-Annu_SCDPT1'!SCDPT1_32ENDIN_19)</f>
        <v>25634192</v>
      </c>
      <c r="X771" s="3">
        <f>SUM('GMIC_2020-Annu_SCDPT1'!SCDPT1_32BEGIN_20:'GMIC_2020-Annu_SCDPT1'!SCDPT1_32ENDIN_20)</f>
        <v>82207380</v>
      </c>
      <c r="Y771" s="27"/>
      <c r="Z771" s="27"/>
      <c r="AA771" s="2"/>
      <c r="AB771" s="2"/>
      <c r="AC771" s="2"/>
      <c r="AD771" s="2"/>
      <c r="AE771" s="27"/>
      <c r="AF771" s="2"/>
      <c r="AG771" s="27"/>
      <c r="AH771" s="2"/>
      <c r="AI771" s="2"/>
      <c r="AJ771" s="2"/>
      <c r="AK771" s="2"/>
      <c r="AL771" s="2"/>
      <c r="AM771" s="2"/>
    </row>
    <row r="772" spans="2:39" x14ac:dyDescent="0.25">
      <c r="B772" s="7" t="s">
        <v>2713</v>
      </c>
      <c r="C772" s="1" t="s">
        <v>2713</v>
      </c>
      <c r="D772" s="8" t="s">
        <v>2713</v>
      </c>
      <c r="E772" s="1" t="s">
        <v>2713</v>
      </c>
      <c r="F772" s="1" t="s">
        <v>2713</v>
      </c>
      <c r="G772" s="1" t="s">
        <v>2713</v>
      </c>
      <c r="H772" s="1" t="s">
        <v>2713</v>
      </c>
      <c r="I772" s="1" t="s">
        <v>2713</v>
      </c>
      <c r="J772" s="1" t="s">
        <v>2713</v>
      </c>
      <c r="K772" s="1" t="s">
        <v>2713</v>
      </c>
      <c r="L772" s="1" t="s">
        <v>2713</v>
      </c>
      <c r="M772" s="1" t="s">
        <v>2713</v>
      </c>
      <c r="N772" s="1" t="s">
        <v>2713</v>
      </c>
      <c r="O772" s="1" t="s">
        <v>2713</v>
      </c>
      <c r="P772" s="1" t="s">
        <v>2713</v>
      </c>
      <c r="Q772" s="1" t="s">
        <v>2713</v>
      </c>
      <c r="R772" s="1" t="s">
        <v>2713</v>
      </c>
      <c r="S772" s="1" t="s">
        <v>2713</v>
      </c>
      <c r="T772" s="1" t="s">
        <v>2713</v>
      </c>
      <c r="U772" s="1" t="s">
        <v>2713</v>
      </c>
      <c r="V772" s="1" t="s">
        <v>2713</v>
      </c>
      <c r="W772" s="1" t="s">
        <v>2713</v>
      </c>
      <c r="X772" s="1" t="s">
        <v>2713</v>
      </c>
      <c r="Y772" s="15" t="s">
        <v>2713</v>
      </c>
      <c r="Z772" s="15" t="s">
        <v>2713</v>
      </c>
      <c r="AA772" s="1" t="s">
        <v>2713</v>
      </c>
      <c r="AB772" s="1" t="s">
        <v>2713</v>
      </c>
      <c r="AC772" s="1" t="s">
        <v>2713</v>
      </c>
      <c r="AD772" s="1" t="s">
        <v>2713</v>
      </c>
      <c r="AE772" s="1" t="s">
        <v>2713</v>
      </c>
      <c r="AF772" s="1" t="s">
        <v>2713</v>
      </c>
      <c r="AG772" s="15" t="s">
        <v>2713</v>
      </c>
      <c r="AH772" s="1" t="s">
        <v>2713</v>
      </c>
      <c r="AI772" s="1" t="s">
        <v>2713</v>
      </c>
      <c r="AJ772" s="1" t="s">
        <v>2713</v>
      </c>
      <c r="AK772" s="1" t="s">
        <v>2713</v>
      </c>
      <c r="AL772" s="1" t="s">
        <v>2713</v>
      </c>
      <c r="AM772" s="1" t="s">
        <v>2713</v>
      </c>
    </row>
    <row r="773" spans="2:39" x14ac:dyDescent="0.25">
      <c r="B773" s="18" t="s">
        <v>4042</v>
      </c>
      <c r="C773" s="25" t="s">
        <v>3846</v>
      </c>
      <c r="D773" s="20" t="s">
        <v>3</v>
      </c>
      <c r="E773" s="38" t="s">
        <v>3</v>
      </c>
      <c r="F773" s="22" t="s">
        <v>3</v>
      </c>
      <c r="G773" s="37" t="s">
        <v>3</v>
      </c>
      <c r="H773" s="33" t="s">
        <v>3</v>
      </c>
      <c r="I773" s="34" t="s">
        <v>3</v>
      </c>
      <c r="J773" s="36" t="s">
        <v>3</v>
      </c>
      <c r="K773" s="4"/>
      <c r="L773" s="39"/>
      <c r="M773" s="4"/>
      <c r="N773" s="4"/>
      <c r="O773" s="4"/>
      <c r="P773" s="4"/>
      <c r="Q773" s="4"/>
      <c r="R773" s="4"/>
      <c r="S773" s="4"/>
      <c r="T773" s="23"/>
      <c r="U773" s="23"/>
      <c r="V773" s="5" t="s">
        <v>3</v>
      </c>
      <c r="W773" s="4"/>
      <c r="X773" s="4"/>
      <c r="Y773" s="9"/>
      <c r="Z773" s="9"/>
      <c r="AA773" s="2"/>
      <c r="AB773" s="29" t="s">
        <v>3</v>
      </c>
      <c r="AC773" s="5" t="s">
        <v>3</v>
      </c>
      <c r="AD773" s="74" t="s">
        <v>3</v>
      </c>
      <c r="AE773" s="6"/>
      <c r="AF773" s="23"/>
      <c r="AG773" s="9"/>
      <c r="AH773" s="5" t="s">
        <v>3</v>
      </c>
      <c r="AI773" s="5" t="s">
        <v>3</v>
      </c>
      <c r="AJ773" s="5" t="s">
        <v>3</v>
      </c>
      <c r="AK773" s="16" t="s">
        <v>3</v>
      </c>
      <c r="AL773" s="40" t="s">
        <v>3</v>
      </c>
      <c r="AM773" s="31" t="s">
        <v>3</v>
      </c>
    </row>
    <row r="774" spans="2:39" x14ac:dyDescent="0.25">
      <c r="B774" s="7" t="s">
        <v>2713</v>
      </c>
      <c r="C774" s="1" t="s">
        <v>2713</v>
      </c>
      <c r="D774" s="8" t="s">
        <v>2713</v>
      </c>
      <c r="E774" s="1" t="s">
        <v>2713</v>
      </c>
      <c r="F774" s="1" t="s">
        <v>2713</v>
      </c>
      <c r="G774" s="1" t="s">
        <v>2713</v>
      </c>
      <c r="H774" s="1" t="s">
        <v>2713</v>
      </c>
      <c r="I774" s="1" t="s">
        <v>2713</v>
      </c>
      <c r="J774" s="1" t="s">
        <v>2713</v>
      </c>
      <c r="K774" s="1" t="s">
        <v>2713</v>
      </c>
      <c r="L774" s="1" t="s">
        <v>2713</v>
      </c>
      <c r="M774" s="1" t="s">
        <v>2713</v>
      </c>
      <c r="N774" s="1" t="s">
        <v>2713</v>
      </c>
      <c r="O774" s="1" t="s">
        <v>2713</v>
      </c>
      <c r="P774" s="1" t="s">
        <v>2713</v>
      </c>
      <c r="Q774" s="1" t="s">
        <v>2713</v>
      </c>
      <c r="R774" s="1" t="s">
        <v>2713</v>
      </c>
      <c r="S774" s="1" t="s">
        <v>2713</v>
      </c>
      <c r="T774" s="1" t="s">
        <v>2713</v>
      </c>
      <c r="U774" s="1" t="s">
        <v>2713</v>
      </c>
      <c r="V774" s="1" t="s">
        <v>2713</v>
      </c>
      <c r="W774" s="1" t="s">
        <v>2713</v>
      </c>
      <c r="X774" s="1" t="s">
        <v>2713</v>
      </c>
      <c r="Y774" s="15" t="s">
        <v>2713</v>
      </c>
      <c r="Z774" s="15" t="s">
        <v>2713</v>
      </c>
      <c r="AA774" s="1" t="s">
        <v>2713</v>
      </c>
      <c r="AB774" s="1" t="s">
        <v>2713</v>
      </c>
      <c r="AC774" s="1" t="s">
        <v>2713</v>
      </c>
      <c r="AD774" s="1" t="s">
        <v>2713</v>
      </c>
      <c r="AE774" s="15" t="s">
        <v>2713</v>
      </c>
      <c r="AF774" s="1" t="s">
        <v>2713</v>
      </c>
      <c r="AG774" s="15" t="s">
        <v>2713</v>
      </c>
      <c r="AH774" s="1" t="s">
        <v>2713</v>
      </c>
      <c r="AI774" s="1" t="s">
        <v>2713</v>
      </c>
      <c r="AJ774" s="1" t="s">
        <v>2713</v>
      </c>
      <c r="AK774" s="1" t="s">
        <v>2713</v>
      </c>
      <c r="AL774" s="1" t="s">
        <v>2713</v>
      </c>
      <c r="AM774" s="1" t="s">
        <v>2713</v>
      </c>
    </row>
    <row r="775" spans="2:39" ht="55.2" x14ac:dyDescent="0.25">
      <c r="B775" s="21" t="s">
        <v>1064</v>
      </c>
      <c r="C775" s="19" t="s">
        <v>2137</v>
      </c>
      <c r="D775" s="17"/>
      <c r="E775" s="2"/>
      <c r="F775" s="2"/>
      <c r="G775" s="2"/>
      <c r="H775" s="2"/>
      <c r="I775" s="2"/>
      <c r="J775" s="2"/>
      <c r="K775" s="3">
        <f>SUM('GMIC_2020-Annu_SCDPT1'!SCDPT1_33BEGIN_7:'GMIC_2020-Annu_SCDPT1'!SCDPT1_33ENDIN_7)</f>
        <v>0</v>
      </c>
      <c r="L775" s="2"/>
      <c r="M775" s="3">
        <f>SUM('GMIC_2020-Annu_SCDPT1'!SCDPT1_33BEGIN_9:'GMIC_2020-Annu_SCDPT1'!SCDPT1_33ENDIN_9)</f>
        <v>0</v>
      </c>
      <c r="N775" s="3">
        <f>SUM('GMIC_2020-Annu_SCDPT1'!SCDPT1_33BEGIN_10:'GMIC_2020-Annu_SCDPT1'!SCDPT1_33ENDIN_10)</f>
        <v>0</v>
      </c>
      <c r="O775" s="3">
        <f>SUM('GMIC_2020-Annu_SCDPT1'!SCDPT1_33BEGIN_11:'GMIC_2020-Annu_SCDPT1'!SCDPT1_33ENDIN_11)</f>
        <v>0</v>
      </c>
      <c r="P775" s="3">
        <f>SUM('GMIC_2020-Annu_SCDPT1'!SCDPT1_33BEGIN_12:'GMIC_2020-Annu_SCDPT1'!SCDPT1_33ENDIN_12)</f>
        <v>0</v>
      </c>
      <c r="Q775" s="3">
        <f>SUM('GMIC_2020-Annu_SCDPT1'!SCDPT1_33BEGIN_13:'GMIC_2020-Annu_SCDPT1'!SCDPT1_33ENDIN_13)</f>
        <v>0</v>
      </c>
      <c r="R775" s="3">
        <f>SUM('GMIC_2020-Annu_SCDPT1'!SCDPT1_33BEGIN_14:'GMIC_2020-Annu_SCDPT1'!SCDPT1_33ENDIN_14)</f>
        <v>0</v>
      </c>
      <c r="S775" s="3">
        <f>SUM('GMIC_2020-Annu_SCDPT1'!SCDPT1_33BEGIN_15:'GMIC_2020-Annu_SCDPT1'!SCDPT1_33ENDIN_15)</f>
        <v>0</v>
      </c>
      <c r="T775" s="2"/>
      <c r="U775" s="2"/>
      <c r="V775" s="2"/>
      <c r="W775" s="3">
        <f>SUM('GMIC_2020-Annu_SCDPT1'!SCDPT1_33BEGIN_19:'GMIC_2020-Annu_SCDPT1'!SCDPT1_33ENDIN_19)</f>
        <v>0</v>
      </c>
      <c r="X775" s="3">
        <f>SUM('GMIC_2020-Annu_SCDPT1'!SCDPT1_33BEGIN_20:'GMIC_2020-Annu_SCDPT1'!SCDPT1_33ENDIN_20)</f>
        <v>0</v>
      </c>
      <c r="Y775" s="27"/>
      <c r="Z775" s="27"/>
      <c r="AA775" s="2"/>
      <c r="AB775" s="2"/>
      <c r="AC775" s="2"/>
      <c r="AD775" s="2"/>
      <c r="AE775" s="27"/>
      <c r="AF775" s="2"/>
      <c r="AG775" s="27"/>
      <c r="AH775" s="2"/>
      <c r="AI775" s="2"/>
      <c r="AJ775" s="2"/>
      <c r="AK775" s="2"/>
      <c r="AL775" s="2"/>
      <c r="AM775" s="2"/>
    </row>
    <row r="776" spans="2:39" x14ac:dyDescent="0.25">
      <c r="B776" s="7" t="s">
        <v>2713</v>
      </c>
      <c r="C776" s="1" t="s">
        <v>2713</v>
      </c>
      <c r="D776" s="8" t="s">
        <v>2713</v>
      </c>
      <c r="E776" s="1" t="s">
        <v>2713</v>
      </c>
      <c r="F776" s="1" t="s">
        <v>2713</v>
      </c>
      <c r="G776" s="1" t="s">
        <v>2713</v>
      </c>
      <c r="H776" s="1" t="s">
        <v>2713</v>
      </c>
      <c r="I776" s="1" t="s">
        <v>2713</v>
      </c>
      <c r="J776" s="1" t="s">
        <v>2713</v>
      </c>
      <c r="K776" s="1" t="s">
        <v>2713</v>
      </c>
      <c r="L776" s="1" t="s">
        <v>2713</v>
      </c>
      <c r="M776" s="1" t="s">
        <v>2713</v>
      </c>
      <c r="N776" s="1" t="s">
        <v>2713</v>
      </c>
      <c r="O776" s="1" t="s">
        <v>2713</v>
      </c>
      <c r="P776" s="1" t="s">
        <v>2713</v>
      </c>
      <c r="Q776" s="1" t="s">
        <v>2713</v>
      </c>
      <c r="R776" s="1" t="s">
        <v>2713</v>
      </c>
      <c r="S776" s="1" t="s">
        <v>2713</v>
      </c>
      <c r="T776" s="1" t="s">
        <v>2713</v>
      </c>
      <c r="U776" s="1" t="s">
        <v>2713</v>
      </c>
      <c r="V776" s="1" t="s">
        <v>2713</v>
      </c>
      <c r="W776" s="1" t="s">
        <v>2713</v>
      </c>
      <c r="X776" s="1" t="s">
        <v>2713</v>
      </c>
      <c r="Y776" s="15" t="s">
        <v>2713</v>
      </c>
      <c r="Z776" s="15" t="s">
        <v>2713</v>
      </c>
      <c r="AA776" s="1" t="s">
        <v>2713</v>
      </c>
      <c r="AB776" s="1" t="s">
        <v>2713</v>
      </c>
      <c r="AC776" s="1" t="s">
        <v>2713</v>
      </c>
      <c r="AD776" s="1" t="s">
        <v>2713</v>
      </c>
      <c r="AE776" s="15" t="s">
        <v>2713</v>
      </c>
      <c r="AF776" s="1" t="s">
        <v>2713</v>
      </c>
      <c r="AG776" s="15" t="s">
        <v>2713</v>
      </c>
      <c r="AH776" s="1" t="s">
        <v>2713</v>
      </c>
      <c r="AI776" s="1" t="s">
        <v>2713</v>
      </c>
      <c r="AJ776" s="1" t="s">
        <v>2713</v>
      </c>
      <c r="AK776" s="1" t="s">
        <v>2713</v>
      </c>
      <c r="AL776" s="1" t="s">
        <v>2713</v>
      </c>
      <c r="AM776" s="1" t="s">
        <v>2713</v>
      </c>
    </row>
    <row r="777" spans="2:39" x14ac:dyDescent="0.25">
      <c r="B777" s="18" t="s">
        <v>3220</v>
      </c>
      <c r="C777" s="25" t="s">
        <v>3846</v>
      </c>
      <c r="D777" s="20" t="s">
        <v>3</v>
      </c>
      <c r="E777" s="38" t="s">
        <v>3</v>
      </c>
      <c r="F777" s="22" t="s">
        <v>3</v>
      </c>
      <c r="G777" s="37" t="s">
        <v>3</v>
      </c>
      <c r="H777" s="33" t="s">
        <v>3</v>
      </c>
      <c r="I777" s="34" t="s">
        <v>3</v>
      </c>
      <c r="J777" s="36" t="s">
        <v>3</v>
      </c>
      <c r="K777" s="4"/>
      <c r="L777" s="39"/>
      <c r="M777" s="4"/>
      <c r="N777" s="4"/>
      <c r="O777" s="4"/>
      <c r="P777" s="4"/>
      <c r="Q777" s="4"/>
      <c r="R777" s="4"/>
      <c r="S777" s="4"/>
      <c r="T777" s="23"/>
      <c r="U777" s="23"/>
      <c r="V777" s="5" t="s">
        <v>3</v>
      </c>
      <c r="W777" s="4"/>
      <c r="X777" s="4"/>
      <c r="Y777" s="9"/>
      <c r="Z777" s="9"/>
      <c r="AA777" s="2"/>
      <c r="AB777" s="29" t="s">
        <v>3</v>
      </c>
      <c r="AC777" s="5" t="s">
        <v>3</v>
      </c>
      <c r="AD777" s="74" t="s">
        <v>3</v>
      </c>
      <c r="AE777" s="9"/>
      <c r="AF777" s="23"/>
      <c r="AG777" s="9"/>
      <c r="AH777" s="5" t="s">
        <v>3</v>
      </c>
      <c r="AI777" s="5" t="s">
        <v>3</v>
      </c>
      <c r="AJ777" s="5" t="s">
        <v>3</v>
      </c>
      <c r="AK777" s="16" t="s">
        <v>3</v>
      </c>
      <c r="AL777" s="40" t="s">
        <v>3</v>
      </c>
      <c r="AM777" s="31" t="s">
        <v>3</v>
      </c>
    </row>
    <row r="778" spans="2:39" x14ac:dyDescent="0.25">
      <c r="B778" s="7" t="s">
        <v>2713</v>
      </c>
      <c r="C778" s="1" t="s">
        <v>2713</v>
      </c>
      <c r="D778" s="8" t="s">
        <v>2713</v>
      </c>
      <c r="E778" s="1" t="s">
        <v>2713</v>
      </c>
      <c r="F778" s="1" t="s">
        <v>2713</v>
      </c>
      <c r="G778" s="1" t="s">
        <v>2713</v>
      </c>
      <c r="H778" s="1" t="s">
        <v>2713</v>
      </c>
      <c r="I778" s="1" t="s">
        <v>2713</v>
      </c>
      <c r="J778" s="1" t="s">
        <v>2713</v>
      </c>
      <c r="K778" s="1" t="s">
        <v>2713</v>
      </c>
      <c r="L778" s="1" t="s">
        <v>2713</v>
      </c>
      <c r="M778" s="1" t="s">
        <v>2713</v>
      </c>
      <c r="N778" s="1" t="s">
        <v>2713</v>
      </c>
      <c r="O778" s="1" t="s">
        <v>2713</v>
      </c>
      <c r="P778" s="1" t="s">
        <v>2713</v>
      </c>
      <c r="Q778" s="1" t="s">
        <v>2713</v>
      </c>
      <c r="R778" s="1" t="s">
        <v>2713</v>
      </c>
      <c r="S778" s="1" t="s">
        <v>2713</v>
      </c>
      <c r="T778" s="1" t="s">
        <v>2713</v>
      </c>
      <c r="U778" s="1" t="s">
        <v>2713</v>
      </c>
      <c r="V778" s="1" t="s">
        <v>2713</v>
      </c>
      <c r="W778" s="1" t="s">
        <v>2713</v>
      </c>
      <c r="X778" s="1" t="s">
        <v>2713</v>
      </c>
      <c r="Y778" s="15" t="s">
        <v>2713</v>
      </c>
      <c r="Z778" s="15" t="s">
        <v>2713</v>
      </c>
      <c r="AA778" s="1" t="s">
        <v>2713</v>
      </c>
      <c r="AB778" s="1" t="s">
        <v>2713</v>
      </c>
      <c r="AC778" s="1" t="s">
        <v>2713</v>
      </c>
      <c r="AD778" s="1" t="s">
        <v>2713</v>
      </c>
      <c r="AE778" s="15" t="s">
        <v>2713</v>
      </c>
      <c r="AF778" s="1" t="s">
        <v>2713</v>
      </c>
      <c r="AG778" s="15" t="s">
        <v>2713</v>
      </c>
      <c r="AH778" s="1" t="s">
        <v>2713</v>
      </c>
      <c r="AI778" s="1" t="s">
        <v>2713</v>
      </c>
      <c r="AJ778" s="1" t="s">
        <v>2713</v>
      </c>
      <c r="AK778" s="1" t="s">
        <v>2713</v>
      </c>
      <c r="AL778" s="1" t="s">
        <v>2713</v>
      </c>
      <c r="AM778" s="1" t="s">
        <v>2713</v>
      </c>
    </row>
    <row r="779" spans="2:39" ht="55.2" x14ac:dyDescent="0.25">
      <c r="B779" s="21" t="s">
        <v>141</v>
      </c>
      <c r="C779" s="19" t="s">
        <v>4348</v>
      </c>
      <c r="D779" s="17"/>
      <c r="E779" s="2"/>
      <c r="F779" s="2"/>
      <c r="G779" s="2"/>
      <c r="H779" s="2"/>
      <c r="I779" s="2"/>
      <c r="J779" s="2"/>
      <c r="K779" s="3">
        <f>SUM('GMIC_2020-Annu_SCDPT1'!SCDPT1_34BEGIN_7:'GMIC_2020-Annu_SCDPT1'!SCDPT1_34ENDIN_7)</f>
        <v>0</v>
      </c>
      <c r="L779" s="2"/>
      <c r="M779" s="3">
        <f>SUM('GMIC_2020-Annu_SCDPT1'!SCDPT1_34BEGIN_9:'GMIC_2020-Annu_SCDPT1'!SCDPT1_34ENDIN_9)</f>
        <v>0</v>
      </c>
      <c r="N779" s="3">
        <f>SUM('GMIC_2020-Annu_SCDPT1'!SCDPT1_34BEGIN_10:'GMIC_2020-Annu_SCDPT1'!SCDPT1_34ENDIN_10)</f>
        <v>0</v>
      </c>
      <c r="O779" s="3">
        <f>SUM('GMIC_2020-Annu_SCDPT1'!SCDPT1_34BEGIN_11:'GMIC_2020-Annu_SCDPT1'!SCDPT1_34ENDIN_11)</f>
        <v>0</v>
      </c>
      <c r="P779" s="3">
        <f>SUM('GMIC_2020-Annu_SCDPT1'!SCDPT1_34BEGIN_12:'GMIC_2020-Annu_SCDPT1'!SCDPT1_34ENDIN_12)</f>
        <v>0</v>
      </c>
      <c r="Q779" s="3">
        <f>SUM('GMIC_2020-Annu_SCDPT1'!SCDPT1_34BEGIN_13:'GMIC_2020-Annu_SCDPT1'!SCDPT1_34ENDIN_13)</f>
        <v>0</v>
      </c>
      <c r="R779" s="3">
        <f>SUM('GMIC_2020-Annu_SCDPT1'!SCDPT1_34BEGIN_14:'GMIC_2020-Annu_SCDPT1'!SCDPT1_34ENDIN_14)</f>
        <v>0</v>
      </c>
      <c r="S779" s="3">
        <f>SUM('GMIC_2020-Annu_SCDPT1'!SCDPT1_34BEGIN_15:'GMIC_2020-Annu_SCDPT1'!SCDPT1_34ENDIN_15)</f>
        <v>0</v>
      </c>
      <c r="T779" s="2"/>
      <c r="U779" s="2"/>
      <c r="V779" s="2"/>
      <c r="W779" s="3">
        <f>SUM('GMIC_2020-Annu_SCDPT1'!SCDPT1_34BEGIN_19:'GMIC_2020-Annu_SCDPT1'!SCDPT1_34ENDIN_19)</f>
        <v>0</v>
      </c>
      <c r="X779" s="3">
        <f>SUM('GMIC_2020-Annu_SCDPT1'!SCDPT1_34BEGIN_20:'GMIC_2020-Annu_SCDPT1'!SCDPT1_34ENDIN_20)</f>
        <v>0</v>
      </c>
      <c r="Y779" s="27"/>
      <c r="Z779" s="27"/>
      <c r="AA779" s="2"/>
      <c r="AB779" s="2"/>
      <c r="AC779" s="2"/>
      <c r="AD779" s="2"/>
      <c r="AE779" s="27"/>
      <c r="AF779" s="2"/>
      <c r="AG779" s="27"/>
      <c r="AH779" s="2"/>
      <c r="AI779" s="2"/>
      <c r="AJ779" s="2"/>
      <c r="AK779" s="2"/>
      <c r="AL779" s="2"/>
      <c r="AM779" s="2"/>
    </row>
    <row r="780" spans="2:39" x14ac:dyDescent="0.25">
      <c r="B780" s="7" t="s">
        <v>2713</v>
      </c>
      <c r="C780" s="1" t="s">
        <v>2713</v>
      </c>
      <c r="D780" s="8" t="s">
        <v>2713</v>
      </c>
      <c r="E780" s="1" t="s">
        <v>2713</v>
      </c>
      <c r="F780" s="1" t="s">
        <v>2713</v>
      </c>
      <c r="G780" s="1" t="s">
        <v>2713</v>
      </c>
      <c r="H780" s="1" t="s">
        <v>2713</v>
      </c>
      <c r="I780" s="1" t="s">
        <v>2713</v>
      </c>
      <c r="J780" s="1" t="s">
        <v>2713</v>
      </c>
      <c r="K780" s="1" t="s">
        <v>2713</v>
      </c>
      <c r="L780" s="1" t="s">
        <v>2713</v>
      </c>
      <c r="M780" s="1" t="s">
        <v>2713</v>
      </c>
      <c r="N780" s="1" t="s">
        <v>2713</v>
      </c>
      <c r="O780" s="1" t="s">
        <v>2713</v>
      </c>
      <c r="P780" s="1" t="s">
        <v>2713</v>
      </c>
      <c r="Q780" s="1" t="s">
        <v>2713</v>
      </c>
      <c r="R780" s="1" t="s">
        <v>2713</v>
      </c>
      <c r="S780" s="1" t="s">
        <v>2713</v>
      </c>
      <c r="T780" s="1" t="s">
        <v>2713</v>
      </c>
      <c r="U780" s="1" t="s">
        <v>2713</v>
      </c>
      <c r="V780" s="1" t="s">
        <v>2713</v>
      </c>
      <c r="W780" s="1" t="s">
        <v>2713</v>
      </c>
      <c r="X780" s="1" t="s">
        <v>2713</v>
      </c>
      <c r="Y780" s="15" t="s">
        <v>2713</v>
      </c>
      <c r="Z780" s="15" t="s">
        <v>2713</v>
      </c>
      <c r="AA780" s="1" t="s">
        <v>2713</v>
      </c>
      <c r="AB780" s="1" t="s">
        <v>2713</v>
      </c>
      <c r="AC780" s="1" t="s">
        <v>2713</v>
      </c>
      <c r="AD780" s="1" t="s">
        <v>2713</v>
      </c>
      <c r="AE780" s="1" t="s">
        <v>2713</v>
      </c>
      <c r="AF780" s="1" t="s">
        <v>2713</v>
      </c>
      <c r="AG780" s="15" t="s">
        <v>2713</v>
      </c>
      <c r="AH780" s="1" t="s">
        <v>2713</v>
      </c>
      <c r="AI780" s="1" t="s">
        <v>2713</v>
      </c>
      <c r="AJ780" s="1" t="s">
        <v>2713</v>
      </c>
      <c r="AK780" s="1" t="s">
        <v>2713</v>
      </c>
      <c r="AL780" s="1" t="s">
        <v>2713</v>
      </c>
      <c r="AM780" s="1" t="s">
        <v>2713</v>
      </c>
    </row>
    <row r="781" spans="2:39" x14ac:dyDescent="0.25">
      <c r="B781" s="18" t="s">
        <v>3684</v>
      </c>
      <c r="C781" s="44" t="s">
        <v>413</v>
      </c>
      <c r="D781" s="20" t="s">
        <v>142</v>
      </c>
      <c r="E781" s="38" t="s">
        <v>3</v>
      </c>
      <c r="F781" s="22" t="s">
        <v>3</v>
      </c>
      <c r="G781" s="37" t="s">
        <v>1987</v>
      </c>
      <c r="H781" s="33" t="s">
        <v>2715</v>
      </c>
      <c r="I781" s="34" t="s">
        <v>3310</v>
      </c>
      <c r="J781" s="36" t="s">
        <v>250</v>
      </c>
      <c r="K781" s="4">
        <v>9999981</v>
      </c>
      <c r="L781" s="39">
        <v>107.337</v>
      </c>
      <c r="M781" s="4">
        <v>10733664</v>
      </c>
      <c r="N781" s="4">
        <v>10000000</v>
      </c>
      <c r="O781" s="4">
        <v>9999743</v>
      </c>
      <c r="P781" s="4">
        <v>0</v>
      </c>
      <c r="Q781" s="4">
        <v>-69</v>
      </c>
      <c r="R781" s="4">
        <v>0</v>
      </c>
      <c r="S781" s="4">
        <v>0</v>
      </c>
      <c r="T781" s="23">
        <v>2.294</v>
      </c>
      <c r="U781" s="23">
        <v>2.294</v>
      </c>
      <c r="V781" s="5" t="s">
        <v>248</v>
      </c>
      <c r="W781" s="4">
        <v>95578</v>
      </c>
      <c r="X781" s="4">
        <v>199442</v>
      </c>
      <c r="Y781" s="11">
        <v>43719</v>
      </c>
      <c r="Z781" s="11">
        <v>48061</v>
      </c>
      <c r="AA781" s="2"/>
      <c r="AB781" s="29" t="s">
        <v>3840</v>
      </c>
      <c r="AC781" s="5" t="s">
        <v>9</v>
      </c>
      <c r="AD781" s="74" t="s">
        <v>143</v>
      </c>
      <c r="AE781" s="6"/>
      <c r="AF781" s="23"/>
      <c r="AG781" s="11">
        <v>47331</v>
      </c>
      <c r="AH781" s="5" t="s">
        <v>3</v>
      </c>
      <c r="AI781" s="5" t="s">
        <v>2138</v>
      </c>
      <c r="AJ781" s="5" t="s">
        <v>2138</v>
      </c>
      <c r="AK781" s="16" t="s">
        <v>3</v>
      </c>
      <c r="AL781" s="40" t="s">
        <v>3842</v>
      </c>
      <c r="AM781" s="31" t="s">
        <v>2217</v>
      </c>
    </row>
    <row r="782" spans="2:39" x14ac:dyDescent="0.25">
      <c r="B782" s="18" t="s">
        <v>414</v>
      </c>
      <c r="C782" s="44" t="s">
        <v>742</v>
      </c>
      <c r="D782" s="20" t="s">
        <v>2329</v>
      </c>
      <c r="E782" s="67" t="s">
        <v>3</v>
      </c>
      <c r="F782" s="51" t="s">
        <v>3</v>
      </c>
      <c r="G782" s="37" t="s">
        <v>1987</v>
      </c>
      <c r="H782" s="68" t="s">
        <v>2715</v>
      </c>
      <c r="I782" s="62" t="s">
        <v>3310</v>
      </c>
      <c r="J782" s="61" t="s">
        <v>250</v>
      </c>
      <c r="K782" s="4">
        <v>6999934</v>
      </c>
      <c r="L782" s="39">
        <v>101.107</v>
      </c>
      <c r="M782" s="4">
        <v>7077505</v>
      </c>
      <c r="N782" s="4">
        <v>7000000</v>
      </c>
      <c r="O782" s="4">
        <v>6999988</v>
      </c>
      <c r="P782" s="4">
        <v>0</v>
      </c>
      <c r="Q782" s="4">
        <v>699</v>
      </c>
      <c r="R782" s="4">
        <v>0</v>
      </c>
      <c r="S782" s="4">
        <v>0</v>
      </c>
      <c r="T782" s="23">
        <v>3.29</v>
      </c>
      <c r="U782" s="23">
        <v>3.3130000000000002</v>
      </c>
      <c r="V782" s="5" t="s">
        <v>415</v>
      </c>
      <c r="W782" s="4">
        <v>10235</v>
      </c>
      <c r="X782" s="4">
        <v>230300</v>
      </c>
      <c r="Y782" s="11">
        <v>43242</v>
      </c>
      <c r="Z782" s="11">
        <v>45061</v>
      </c>
      <c r="AA782" s="2"/>
      <c r="AB782" s="63" t="s">
        <v>3840</v>
      </c>
      <c r="AC782" s="5" t="s">
        <v>9</v>
      </c>
      <c r="AD782" s="76" t="s">
        <v>1987</v>
      </c>
      <c r="AE782" s="6"/>
      <c r="AF782" s="23"/>
      <c r="AG782" s="11">
        <v>44270</v>
      </c>
      <c r="AH782" s="5" t="s">
        <v>3</v>
      </c>
      <c r="AI782" s="5" t="s">
        <v>2329</v>
      </c>
      <c r="AJ782" s="5" t="s">
        <v>3</v>
      </c>
      <c r="AK782" s="16" t="s">
        <v>3</v>
      </c>
      <c r="AL782" s="65" t="s">
        <v>3842</v>
      </c>
      <c r="AM782" s="31" t="s">
        <v>2217</v>
      </c>
    </row>
    <row r="783" spans="2:39" x14ac:dyDescent="0.25">
      <c r="B783" s="18" t="s">
        <v>1478</v>
      </c>
      <c r="C783" s="44" t="s">
        <v>3437</v>
      </c>
      <c r="D783" s="20" t="s">
        <v>144</v>
      </c>
      <c r="E783" s="67" t="s">
        <v>3</v>
      </c>
      <c r="F783" s="51" t="s">
        <v>3</v>
      </c>
      <c r="G783" s="37" t="s">
        <v>1987</v>
      </c>
      <c r="H783" s="68" t="s">
        <v>2715</v>
      </c>
      <c r="I783" s="62" t="s">
        <v>3310</v>
      </c>
      <c r="J783" s="61" t="s">
        <v>250</v>
      </c>
      <c r="K783" s="4">
        <v>4349267</v>
      </c>
      <c r="L783" s="39">
        <v>100.077</v>
      </c>
      <c r="M783" s="4">
        <v>4353360</v>
      </c>
      <c r="N783" s="4">
        <v>4350000</v>
      </c>
      <c r="O783" s="4">
        <v>4349634</v>
      </c>
      <c r="P783" s="4">
        <v>0</v>
      </c>
      <c r="Q783" s="4">
        <v>71</v>
      </c>
      <c r="R783" s="4">
        <v>0</v>
      </c>
      <c r="S783" s="4">
        <v>0</v>
      </c>
      <c r="T783" s="23">
        <v>2.91</v>
      </c>
      <c r="U783" s="23">
        <v>2.93</v>
      </c>
      <c r="V783" s="5" t="s">
        <v>415</v>
      </c>
      <c r="W783" s="4">
        <v>5625</v>
      </c>
      <c r="X783" s="4">
        <v>126585</v>
      </c>
      <c r="Y783" s="11">
        <v>42871</v>
      </c>
      <c r="Z783" s="11">
        <v>45307</v>
      </c>
      <c r="AA783" s="2"/>
      <c r="AB783" s="63" t="s">
        <v>3840</v>
      </c>
      <c r="AC783" s="5" t="s">
        <v>9</v>
      </c>
      <c r="AD783" s="76" t="s">
        <v>1987</v>
      </c>
      <c r="AE783" s="9"/>
      <c r="AF783" s="23"/>
      <c r="AG783" s="11">
        <v>44696</v>
      </c>
      <c r="AH783" s="5" t="s">
        <v>3</v>
      </c>
      <c r="AI783" s="5" t="s">
        <v>1065</v>
      </c>
      <c r="AJ783" s="5" t="s">
        <v>1065</v>
      </c>
      <c r="AK783" s="16" t="s">
        <v>3</v>
      </c>
      <c r="AL783" s="65" t="s">
        <v>929</v>
      </c>
      <c r="AM783" s="31" t="s">
        <v>2217</v>
      </c>
    </row>
    <row r="784" spans="2:39" x14ac:dyDescent="0.25">
      <c r="B784" s="18" t="s">
        <v>2575</v>
      </c>
      <c r="C784" s="44" t="s">
        <v>3685</v>
      </c>
      <c r="D784" s="20" t="s">
        <v>4349</v>
      </c>
      <c r="E784" s="67" t="s">
        <v>3</v>
      </c>
      <c r="F784" s="51" t="s">
        <v>3</v>
      </c>
      <c r="G784" s="37" t="s">
        <v>2715</v>
      </c>
      <c r="H784" s="68" t="s">
        <v>3842</v>
      </c>
      <c r="I784" s="62" t="s">
        <v>3310</v>
      </c>
      <c r="J784" s="61" t="s">
        <v>250</v>
      </c>
      <c r="K784" s="4">
        <v>7256811</v>
      </c>
      <c r="L784" s="39">
        <v>97.673000000000002</v>
      </c>
      <c r="M784" s="4">
        <v>7224586</v>
      </c>
      <c r="N784" s="4">
        <v>7396708</v>
      </c>
      <c r="O784" s="4">
        <v>7280352</v>
      </c>
      <c r="P784" s="4">
        <v>0</v>
      </c>
      <c r="Q784" s="4">
        <v>10499</v>
      </c>
      <c r="R784" s="4">
        <v>0</v>
      </c>
      <c r="S784" s="4">
        <v>0</v>
      </c>
      <c r="T784" s="23">
        <v>3</v>
      </c>
      <c r="U784" s="23">
        <v>3.294</v>
      </c>
      <c r="V784" s="5" t="s">
        <v>3843</v>
      </c>
      <c r="W784" s="4">
        <v>46845</v>
      </c>
      <c r="X784" s="4">
        <v>221901</v>
      </c>
      <c r="Y784" s="11">
        <v>43817</v>
      </c>
      <c r="Z784" s="11">
        <v>47041</v>
      </c>
      <c r="AA784" s="2"/>
      <c r="AB784" s="63" t="s">
        <v>3840</v>
      </c>
      <c r="AC784" s="5" t="s">
        <v>4198</v>
      </c>
      <c r="AD784" s="76" t="s">
        <v>4350</v>
      </c>
      <c r="AE784" s="9"/>
      <c r="AF784" s="23"/>
      <c r="AG784" s="9"/>
      <c r="AH784" s="5" t="s">
        <v>3</v>
      </c>
      <c r="AI784" s="5" t="s">
        <v>3221</v>
      </c>
      <c r="AJ784" s="5" t="s">
        <v>3221</v>
      </c>
      <c r="AK784" s="16" t="s">
        <v>3</v>
      </c>
      <c r="AL784" s="65" t="s">
        <v>2715</v>
      </c>
      <c r="AM784" s="31" t="s">
        <v>1651</v>
      </c>
    </row>
    <row r="785" spans="2:39" x14ac:dyDescent="0.25">
      <c r="B785" s="18" t="s">
        <v>3686</v>
      </c>
      <c r="C785" s="44" t="s">
        <v>743</v>
      </c>
      <c r="D785" s="20" t="s">
        <v>2139</v>
      </c>
      <c r="E785" s="67" t="s">
        <v>3</v>
      </c>
      <c r="F785" s="51" t="s">
        <v>3</v>
      </c>
      <c r="G785" s="37" t="s">
        <v>1256</v>
      </c>
      <c r="H785" s="68" t="s">
        <v>3842</v>
      </c>
      <c r="I785" s="62" t="s">
        <v>1157</v>
      </c>
      <c r="J785" s="61" t="s">
        <v>250</v>
      </c>
      <c r="K785" s="4">
        <v>7551699</v>
      </c>
      <c r="L785" s="39">
        <v>102.181</v>
      </c>
      <c r="M785" s="4">
        <v>7644416</v>
      </c>
      <c r="N785" s="4">
        <v>7481250</v>
      </c>
      <c r="O785" s="4">
        <v>7546292</v>
      </c>
      <c r="P785" s="4">
        <v>0</v>
      </c>
      <c r="Q785" s="4">
        <v>-5408</v>
      </c>
      <c r="R785" s="4">
        <v>0</v>
      </c>
      <c r="S785" s="4">
        <v>0</v>
      </c>
      <c r="T785" s="23">
        <v>3.2370000000000001</v>
      </c>
      <c r="U785" s="23">
        <v>2.9780000000000002</v>
      </c>
      <c r="V785" s="5" t="s">
        <v>3432</v>
      </c>
      <c r="W785" s="4">
        <v>41033</v>
      </c>
      <c r="X785" s="4">
        <v>60542</v>
      </c>
      <c r="Y785" s="11">
        <v>44042</v>
      </c>
      <c r="Z785" s="11">
        <v>54999</v>
      </c>
      <c r="AA785" s="2"/>
      <c r="AB785" s="63" t="s">
        <v>3840</v>
      </c>
      <c r="AC785" s="5" t="s">
        <v>9</v>
      </c>
      <c r="AD785" s="76" t="s">
        <v>143</v>
      </c>
      <c r="AE785" s="11">
        <v>45503</v>
      </c>
      <c r="AF785" s="23">
        <v>100</v>
      </c>
      <c r="AG785" s="11">
        <v>46598</v>
      </c>
      <c r="AH785" s="5" t="s">
        <v>3</v>
      </c>
      <c r="AI785" s="5" t="s">
        <v>2330</v>
      </c>
      <c r="AJ785" s="5" t="s">
        <v>928</v>
      </c>
      <c r="AK785" s="16" t="s">
        <v>3</v>
      </c>
      <c r="AL785" s="65" t="s">
        <v>3842</v>
      </c>
      <c r="AM785" s="31" t="s">
        <v>926</v>
      </c>
    </row>
    <row r="786" spans="2:39" x14ac:dyDescent="0.25">
      <c r="B786" s="18" t="s">
        <v>416</v>
      </c>
      <c r="C786" s="44" t="s">
        <v>4351</v>
      </c>
      <c r="D786" s="20" t="s">
        <v>744</v>
      </c>
      <c r="E786" s="67" t="s">
        <v>3</v>
      </c>
      <c r="F786" s="51" t="s">
        <v>3</v>
      </c>
      <c r="G786" s="37" t="s">
        <v>1256</v>
      </c>
      <c r="H786" s="68" t="s">
        <v>2715</v>
      </c>
      <c r="I786" s="62" t="s">
        <v>10</v>
      </c>
      <c r="J786" s="61" t="s">
        <v>250</v>
      </c>
      <c r="K786" s="4">
        <v>11433802</v>
      </c>
      <c r="L786" s="39">
        <v>101.29300000000001</v>
      </c>
      <c r="M786" s="4">
        <v>11640557</v>
      </c>
      <c r="N786" s="4">
        <v>11492000</v>
      </c>
      <c r="O786" s="4">
        <v>11479309</v>
      </c>
      <c r="P786" s="4">
        <v>0</v>
      </c>
      <c r="Q786" s="4">
        <v>15324</v>
      </c>
      <c r="R786" s="4">
        <v>0</v>
      </c>
      <c r="S786" s="4">
        <v>0</v>
      </c>
      <c r="T786" s="23">
        <v>2.66</v>
      </c>
      <c r="U786" s="23">
        <v>2.8210000000000002</v>
      </c>
      <c r="V786" s="5" t="s">
        <v>415</v>
      </c>
      <c r="W786" s="4">
        <v>17832</v>
      </c>
      <c r="X786" s="4">
        <v>305687</v>
      </c>
      <c r="Y786" s="11">
        <v>43131</v>
      </c>
      <c r="Z786" s="11">
        <v>44662</v>
      </c>
      <c r="AA786" s="2"/>
      <c r="AB786" s="63" t="s">
        <v>3840</v>
      </c>
      <c r="AC786" s="5" t="s">
        <v>9</v>
      </c>
      <c r="AD786" s="76" t="s">
        <v>4350</v>
      </c>
      <c r="AE786" s="11">
        <v>44510</v>
      </c>
      <c r="AF786" s="23">
        <v>100</v>
      </c>
      <c r="AG786" s="11">
        <v>44540</v>
      </c>
      <c r="AH786" s="5" t="s">
        <v>3</v>
      </c>
      <c r="AI786" s="5" t="s">
        <v>3438</v>
      </c>
      <c r="AJ786" s="5" t="s">
        <v>928</v>
      </c>
      <c r="AK786" s="16" t="s">
        <v>3</v>
      </c>
      <c r="AL786" s="65" t="s">
        <v>929</v>
      </c>
      <c r="AM786" s="31" t="s">
        <v>1992</v>
      </c>
    </row>
    <row r="787" spans="2:39" x14ac:dyDescent="0.25">
      <c r="B787" s="18" t="s">
        <v>1479</v>
      </c>
      <c r="C787" s="44" t="s">
        <v>4352</v>
      </c>
      <c r="D787" s="20" t="s">
        <v>744</v>
      </c>
      <c r="E787" s="67" t="s">
        <v>3</v>
      </c>
      <c r="F787" s="51" t="s">
        <v>3</v>
      </c>
      <c r="G787" s="37" t="s">
        <v>1256</v>
      </c>
      <c r="H787" s="68" t="s">
        <v>2715</v>
      </c>
      <c r="I787" s="62" t="s">
        <v>3538</v>
      </c>
      <c r="J787" s="61" t="s">
        <v>250</v>
      </c>
      <c r="K787" s="4">
        <v>4232252</v>
      </c>
      <c r="L787" s="39">
        <v>101.604</v>
      </c>
      <c r="M787" s="4">
        <v>4318167</v>
      </c>
      <c r="N787" s="4">
        <v>4250000</v>
      </c>
      <c r="O787" s="4">
        <v>4245147</v>
      </c>
      <c r="P787" s="4">
        <v>0</v>
      </c>
      <c r="Q787" s="4">
        <v>4069</v>
      </c>
      <c r="R787" s="4">
        <v>0</v>
      </c>
      <c r="S787" s="4">
        <v>0</v>
      </c>
      <c r="T787" s="23">
        <v>2.87</v>
      </c>
      <c r="U787" s="23">
        <v>2.992</v>
      </c>
      <c r="V787" s="5" t="s">
        <v>415</v>
      </c>
      <c r="W787" s="4">
        <v>7115</v>
      </c>
      <c r="X787" s="4">
        <v>121975</v>
      </c>
      <c r="Y787" s="11">
        <v>43553</v>
      </c>
      <c r="Z787" s="11">
        <v>44783</v>
      </c>
      <c r="AA787" s="2"/>
      <c r="AB787" s="63" t="s">
        <v>3840</v>
      </c>
      <c r="AC787" s="5" t="s">
        <v>9</v>
      </c>
      <c r="AD787" s="76" t="s">
        <v>4350</v>
      </c>
      <c r="AE787" s="11">
        <v>44510</v>
      </c>
      <c r="AF787" s="23">
        <v>100</v>
      </c>
      <c r="AG787" s="11">
        <v>44661</v>
      </c>
      <c r="AH787" s="5" t="s">
        <v>3</v>
      </c>
      <c r="AI787" s="5" t="s">
        <v>3438</v>
      </c>
      <c r="AJ787" s="5" t="s">
        <v>928</v>
      </c>
      <c r="AK787" s="16" t="s">
        <v>3</v>
      </c>
      <c r="AL787" s="65" t="s">
        <v>929</v>
      </c>
      <c r="AM787" s="31" t="s">
        <v>1161</v>
      </c>
    </row>
    <row r="788" spans="2:39" x14ac:dyDescent="0.25">
      <c r="B788" s="18" t="s">
        <v>2576</v>
      </c>
      <c r="C788" s="44" t="s">
        <v>1480</v>
      </c>
      <c r="D788" s="20" t="s">
        <v>3222</v>
      </c>
      <c r="E788" s="67" t="s">
        <v>3</v>
      </c>
      <c r="F788" s="51" t="s">
        <v>3</v>
      </c>
      <c r="G788" s="37" t="s">
        <v>1987</v>
      </c>
      <c r="H788" s="68" t="s">
        <v>2715</v>
      </c>
      <c r="I788" s="62" t="s">
        <v>252</v>
      </c>
      <c r="J788" s="61" t="s">
        <v>250</v>
      </c>
      <c r="K788" s="4">
        <v>2998646</v>
      </c>
      <c r="L788" s="39">
        <v>103.336</v>
      </c>
      <c r="M788" s="4">
        <v>3100094</v>
      </c>
      <c r="N788" s="4">
        <v>3000000</v>
      </c>
      <c r="O788" s="4">
        <v>2999379</v>
      </c>
      <c r="P788" s="4">
        <v>0</v>
      </c>
      <c r="Q788" s="4">
        <v>247</v>
      </c>
      <c r="R788" s="4">
        <v>0</v>
      </c>
      <c r="S788" s="4">
        <v>0</v>
      </c>
      <c r="T788" s="23">
        <v>3.33</v>
      </c>
      <c r="U788" s="23">
        <v>3.3620000000000001</v>
      </c>
      <c r="V788" s="5" t="s">
        <v>415</v>
      </c>
      <c r="W788" s="4">
        <v>3053</v>
      </c>
      <c r="X788" s="4">
        <v>99900</v>
      </c>
      <c r="Y788" s="11">
        <v>43075</v>
      </c>
      <c r="Z788" s="11">
        <v>45371</v>
      </c>
      <c r="AA788" s="2"/>
      <c r="AB788" s="63" t="s">
        <v>3840</v>
      </c>
      <c r="AC788" s="5" t="s">
        <v>9</v>
      </c>
      <c r="AD788" s="76" t="s">
        <v>1987</v>
      </c>
      <c r="AE788" s="9"/>
      <c r="AF788" s="23"/>
      <c r="AG788" s="11">
        <v>45005</v>
      </c>
      <c r="AH788" s="5" t="s">
        <v>3</v>
      </c>
      <c r="AI788" s="5" t="s">
        <v>417</v>
      </c>
      <c r="AJ788" s="5" t="s">
        <v>928</v>
      </c>
      <c r="AK788" s="16" t="s">
        <v>3</v>
      </c>
      <c r="AL788" s="65" t="s">
        <v>2715</v>
      </c>
      <c r="AM788" s="31" t="s">
        <v>898</v>
      </c>
    </row>
    <row r="789" spans="2:39" x14ac:dyDescent="0.25">
      <c r="B789" s="18" t="s">
        <v>3687</v>
      </c>
      <c r="C789" s="44" t="s">
        <v>2577</v>
      </c>
      <c r="D789" s="20" t="s">
        <v>3222</v>
      </c>
      <c r="E789" s="67" t="s">
        <v>3</v>
      </c>
      <c r="F789" s="51" t="s">
        <v>3</v>
      </c>
      <c r="G789" s="37" t="s">
        <v>1987</v>
      </c>
      <c r="H789" s="68" t="s">
        <v>2715</v>
      </c>
      <c r="I789" s="62" t="s">
        <v>252</v>
      </c>
      <c r="J789" s="61" t="s">
        <v>250</v>
      </c>
      <c r="K789" s="4">
        <v>4999886</v>
      </c>
      <c r="L789" s="39">
        <v>103.758</v>
      </c>
      <c r="M789" s="4">
        <v>5187903</v>
      </c>
      <c r="N789" s="4">
        <v>5000000</v>
      </c>
      <c r="O789" s="4">
        <v>4999890</v>
      </c>
      <c r="P789" s="4">
        <v>0</v>
      </c>
      <c r="Q789" s="4">
        <v>5</v>
      </c>
      <c r="R789" s="4">
        <v>0</v>
      </c>
      <c r="S789" s="4">
        <v>0</v>
      </c>
      <c r="T789" s="23">
        <v>4</v>
      </c>
      <c r="U789" s="23">
        <v>4.0330000000000004</v>
      </c>
      <c r="V789" s="5" t="s">
        <v>415</v>
      </c>
      <c r="W789" s="4">
        <v>5556</v>
      </c>
      <c r="X789" s="4">
        <v>200000</v>
      </c>
      <c r="Y789" s="11">
        <v>43214</v>
      </c>
      <c r="Z789" s="11">
        <v>45555</v>
      </c>
      <c r="AA789" s="2"/>
      <c r="AB789" s="63" t="s">
        <v>3840</v>
      </c>
      <c r="AC789" s="5" t="s">
        <v>9</v>
      </c>
      <c r="AD789" s="76" t="s">
        <v>1987</v>
      </c>
      <c r="AE789" s="9"/>
      <c r="AF789" s="23"/>
      <c r="AG789" s="11">
        <v>45190</v>
      </c>
      <c r="AH789" s="5" t="s">
        <v>3</v>
      </c>
      <c r="AI789" s="5" t="s">
        <v>417</v>
      </c>
      <c r="AJ789" s="5" t="s">
        <v>928</v>
      </c>
      <c r="AK789" s="16" t="s">
        <v>3</v>
      </c>
      <c r="AL789" s="65" t="s">
        <v>929</v>
      </c>
      <c r="AM789" s="31" t="s">
        <v>898</v>
      </c>
    </row>
    <row r="790" spans="2:39" x14ac:dyDescent="0.25">
      <c r="B790" s="18" t="s">
        <v>1481</v>
      </c>
      <c r="C790" s="44" t="s">
        <v>2331</v>
      </c>
      <c r="D790" s="20" t="s">
        <v>3222</v>
      </c>
      <c r="E790" s="67" t="s">
        <v>3</v>
      </c>
      <c r="F790" s="51" t="s">
        <v>3</v>
      </c>
      <c r="G790" s="37" t="s">
        <v>1987</v>
      </c>
      <c r="H790" s="68" t="s">
        <v>2715</v>
      </c>
      <c r="I790" s="62" t="s">
        <v>3310</v>
      </c>
      <c r="J790" s="61" t="s">
        <v>250</v>
      </c>
      <c r="K790" s="4">
        <v>3998585</v>
      </c>
      <c r="L790" s="39">
        <v>106.77200000000001</v>
      </c>
      <c r="M790" s="4">
        <v>4270864</v>
      </c>
      <c r="N790" s="4">
        <v>4000000</v>
      </c>
      <c r="O790" s="4">
        <v>3998936</v>
      </c>
      <c r="P790" s="4">
        <v>0</v>
      </c>
      <c r="Q790" s="4">
        <v>213</v>
      </c>
      <c r="R790" s="4">
        <v>0</v>
      </c>
      <c r="S790" s="4">
        <v>0</v>
      </c>
      <c r="T790" s="23">
        <v>3.35</v>
      </c>
      <c r="U790" s="23">
        <v>3.38</v>
      </c>
      <c r="V790" s="5" t="s">
        <v>415</v>
      </c>
      <c r="W790" s="4">
        <v>4094</v>
      </c>
      <c r="X790" s="4">
        <v>133957</v>
      </c>
      <c r="Y790" s="11">
        <v>43571</v>
      </c>
      <c r="Z790" s="11">
        <v>45922</v>
      </c>
      <c r="AA790" s="2"/>
      <c r="AB790" s="63" t="s">
        <v>3840</v>
      </c>
      <c r="AC790" s="5" t="s">
        <v>9</v>
      </c>
      <c r="AD790" s="76" t="s">
        <v>1987</v>
      </c>
      <c r="AE790" s="9"/>
      <c r="AF790" s="23"/>
      <c r="AG790" s="11">
        <v>45555</v>
      </c>
      <c r="AH790" s="5" t="s">
        <v>3</v>
      </c>
      <c r="AI790" s="5" t="s">
        <v>417</v>
      </c>
      <c r="AJ790" s="5" t="s">
        <v>928</v>
      </c>
      <c r="AK790" s="16" t="s">
        <v>3</v>
      </c>
      <c r="AL790" s="65" t="s">
        <v>3842</v>
      </c>
      <c r="AM790" s="31" t="s">
        <v>2217</v>
      </c>
    </row>
    <row r="791" spans="2:39" x14ac:dyDescent="0.25">
      <c r="B791" s="18" t="s">
        <v>2578</v>
      </c>
      <c r="C791" s="44" t="s">
        <v>2332</v>
      </c>
      <c r="D791" s="20" t="s">
        <v>3222</v>
      </c>
      <c r="E791" s="67" t="s">
        <v>3</v>
      </c>
      <c r="F791" s="51" t="s">
        <v>3</v>
      </c>
      <c r="G791" s="37" t="s">
        <v>1987</v>
      </c>
      <c r="H791" s="68" t="s">
        <v>2715</v>
      </c>
      <c r="I791" s="62" t="s">
        <v>252</v>
      </c>
      <c r="J791" s="61" t="s">
        <v>250</v>
      </c>
      <c r="K791" s="4">
        <v>2999350</v>
      </c>
      <c r="L791" s="39">
        <v>105.693</v>
      </c>
      <c r="M791" s="4">
        <v>3170784</v>
      </c>
      <c r="N791" s="4">
        <v>3000000</v>
      </c>
      <c r="O791" s="4">
        <v>2999483</v>
      </c>
      <c r="P791" s="4">
        <v>0</v>
      </c>
      <c r="Q791" s="4">
        <v>82</v>
      </c>
      <c r="R791" s="4">
        <v>0</v>
      </c>
      <c r="S791" s="4">
        <v>0</v>
      </c>
      <c r="T791" s="23">
        <v>3.55</v>
      </c>
      <c r="U791" s="23">
        <v>3.58</v>
      </c>
      <c r="V791" s="5" t="s">
        <v>415</v>
      </c>
      <c r="W791" s="4">
        <v>3254</v>
      </c>
      <c r="X791" s="4">
        <v>106500</v>
      </c>
      <c r="Y791" s="11">
        <v>43571</v>
      </c>
      <c r="Z791" s="11">
        <v>45922</v>
      </c>
      <c r="AA791" s="2"/>
      <c r="AB791" s="63" t="s">
        <v>3840</v>
      </c>
      <c r="AC791" s="5" t="s">
        <v>9</v>
      </c>
      <c r="AD791" s="76" t="s">
        <v>1987</v>
      </c>
      <c r="AE791" s="9"/>
      <c r="AF791" s="23"/>
      <c r="AG791" s="11">
        <v>45555</v>
      </c>
      <c r="AH791" s="5" t="s">
        <v>3</v>
      </c>
      <c r="AI791" s="5" t="s">
        <v>417</v>
      </c>
      <c r="AJ791" s="5" t="s">
        <v>928</v>
      </c>
      <c r="AK791" s="16" t="s">
        <v>3</v>
      </c>
      <c r="AL791" s="65" t="s">
        <v>929</v>
      </c>
      <c r="AM791" s="31" t="s">
        <v>898</v>
      </c>
    </row>
    <row r="792" spans="2:39" x14ac:dyDescent="0.25">
      <c r="B792" s="18" t="s">
        <v>3688</v>
      </c>
      <c r="C792" s="44" t="s">
        <v>3439</v>
      </c>
      <c r="D792" s="20" t="s">
        <v>1257</v>
      </c>
      <c r="E792" s="67" t="s">
        <v>3</v>
      </c>
      <c r="F792" s="51" t="s">
        <v>3</v>
      </c>
      <c r="G792" s="37" t="s">
        <v>1256</v>
      </c>
      <c r="H792" s="68" t="s">
        <v>2715</v>
      </c>
      <c r="I792" s="62" t="s">
        <v>3310</v>
      </c>
      <c r="J792" s="61" t="s">
        <v>250</v>
      </c>
      <c r="K792" s="4">
        <v>8999024</v>
      </c>
      <c r="L792" s="39">
        <v>100.319</v>
      </c>
      <c r="M792" s="4">
        <v>9028711</v>
      </c>
      <c r="N792" s="4">
        <v>9000000</v>
      </c>
      <c r="O792" s="4">
        <v>8999129</v>
      </c>
      <c r="P792" s="4">
        <v>0</v>
      </c>
      <c r="Q792" s="4">
        <v>104</v>
      </c>
      <c r="R792" s="4">
        <v>0</v>
      </c>
      <c r="S792" s="4">
        <v>0</v>
      </c>
      <c r="T792" s="23">
        <v>0.91</v>
      </c>
      <c r="U792" s="23">
        <v>0.91900000000000004</v>
      </c>
      <c r="V792" s="5" t="s">
        <v>415</v>
      </c>
      <c r="W792" s="4">
        <v>2503</v>
      </c>
      <c r="X792" s="4">
        <v>11375</v>
      </c>
      <c r="Y792" s="11">
        <v>44125</v>
      </c>
      <c r="Z792" s="11">
        <v>45889</v>
      </c>
      <c r="AA792" s="2"/>
      <c r="AB792" s="63" t="s">
        <v>3840</v>
      </c>
      <c r="AC792" s="5" t="s">
        <v>9</v>
      </c>
      <c r="AD792" s="76" t="s">
        <v>143</v>
      </c>
      <c r="AE792" s="11">
        <v>45493</v>
      </c>
      <c r="AF792" s="23">
        <v>100</v>
      </c>
      <c r="AG792" s="11">
        <v>44977</v>
      </c>
      <c r="AH792" s="5" t="s">
        <v>3</v>
      </c>
      <c r="AI792" s="5" t="s">
        <v>3440</v>
      </c>
      <c r="AJ792" s="5" t="s">
        <v>928</v>
      </c>
      <c r="AK792" s="16" t="s">
        <v>3</v>
      </c>
      <c r="AL792" s="65" t="s">
        <v>2715</v>
      </c>
      <c r="AM792" s="31" t="s">
        <v>2217</v>
      </c>
    </row>
    <row r="793" spans="2:39" x14ac:dyDescent="0.25">
      <c r="B793" s="18" t="s">
        <v>418</v>
      </c>
      <c r="C793" s="44" t="s">
        <v>3441</v>
      </c>
      <c r="D793" s="20" t="s">
        <v>1257</v>
      </c>
      <c r="E793" s="67" t="s">
        <v>3</v>
      </c>
      <c r="F793" s="51" t="s">
        <v>3</v>
      </c>
      <c r="G793" s="37" t="s">
        <v>1256</v>
      </c>
      <c r="H793" s="68" t="s">
        <v>2715</v>
      </c>
      <c r="I793" s="62" t="s">
        <v>2218</v>
      </c>
      <c r="J793" s="61" t="s">
        <v>250</v>
      </c>
      <c r="K793" s="4">
        <v>5999231</v>
      </c>
      <c r="L793" s="39">
        <v>100.358</v>
      </c>
      <c r="M793" s="4">
        <v>6021481</v>
      </c>
      <c r="N793" s="4">
        <v>6000000</v>
      </c>
      <c r="O793" s="4">
        <v>5999273</v>
      </c>
      <c r="P793" s="4">
        <v>0</v>
      </c>
      <c r="Q793" s="4">
        <v>42</v>
      </c>
      <c r="R793" s="4">
        <v>0</v>
      </c>
      <c r="S793" s="4">
        <v>0</v>
      </c>
      <c r="T793" s="23">
        <v>1.46</v>
      </c>
      <c r="U793" s="23">
        <v>1.4690000000000001</v>
      </c>
      <c r="V793" s="5" t="s">
        <v>415</v>
      </c>
      <c r="W793" s="4">
        <v>2677</v>
      </c>
      <c r="X793" s="4">
        <v>12167</v>
      </c>
      <c r="Y793" s="11">
        <v>44125</v>
      </c>
      <c r="Z793" s="11">
        <v>45922</v>
      </c>
      <c r="AA793" s="2"/>
      <c r="AB793" s="63" t="s">
        <v>3840</v>
      </c>
      <c r="AC793" s="5" t="s">
        <v>9</v>
      </c>
      <c r="AD793" s="76" t="s">
        <v>143</v>
      </c>
      <c r="AE793" s="11">
        <v>45493</v>
      </c>
      <c r="AF793" s="23">
        <v>100</v>
      </c>
      <c r="AG793" s="11">
        <v>45432</v>
      </c>
      <c r="AH793" s="5" t="s">
        <v>3</v>
      </c>
      <c r="AI793" s="5" t="s">
        <v>3440</v>
      </c>
      <c r="AJ793" s="5" t="s">
        <v>928</v>
      </c>
      <c r="AK793" s="16" t="s">
        <v>3</v>
      </c>
      <c r="AL793" s="65" t="s">
        <v>2715</v>
      </c>
      <c r="AM793" s="31" t="s">
        <v>1351</v>
      </c>
    </row>
    <row r="794" spans="2:39" x14ac:dyDescent="0.25">
      <c r="B794" s="18" t="s">
        <v>1482</v>
      </c>
      <c r="C794" s="44" t="s">
        <v>1258</v>
      </c>
      <c r="D794" s="20" t="s">
        <v>4353</v>
      </c>
      <c r="E794" s="67" t="s">
        <v>3</v>
      </c>
      <c r="F794" s="51" t="s">
        <v>3</v>
      </c>
      <c r="G794" s="37" t="s">
        <v>1256</v>
      </c>
      <c r="H794" s="68" t="s">
        <v>2715</v>
      </c>
      <c r="I794" s="62" t="s">
        <v>252</v>
      </c>
      <c r="J794" s="61" t="s">
        <v>250</v>
      </c>
      <c r="K794" s="4">
        <v>310601</v>
      </c>
      <c r="L794" s="39">
        <v>99.456000000000003</v>
      </c>
      <c r="M794" s="4">
        <v>318055</v>
      </c>
      <c r="N794" s="4">
        <v>319795</v>
      </c>
      <c r="O794" s="4">
        <v>313721</v>
      </c>
      <c r="P794" s="4">
        <v>0</v>
      </c>
      <c r="Q794" s="4">
        <v>1358</v>
      </c>
      <c r="R794" s="4">
        <v>0</v>
      </c>
      <c r="S794" s="4">
        <v>0</v>
      </c>
      <c r="T794" s="23">
        <v>2.88</v>
      </c>
      <c r="U794" s="23">
        <v>3.7519999999999998</v>
      </c>
      <c r="V794" s="5" t="s">
        <v>415</v>
      </c>
      <c r="W794" s="4">
        <v>742</v>
      </c>
      <c r="X794" s="4">
        <v>9210</v>
      </c>
      <c r="Y794" s="11">
        <v>43446</v>
      </c>
      <c r="Z794" s="11">
        <v>47605</v>
      </c>
      <c r="AA794" s="2"/>
      <c r="AB794" s="63" t="s">
        <v>3840</v>
      </c>
      <c r="AC794" s="5" t="s">
        <v>3442</v>
      </c>
      <c r="AD794" s="76" t="s">
        <v>143</v>
      </c>
      <c r="AE794" s="10">
        <v>44897</v>
      </c>
      <c r="AF794" s="23">
        <v>100</v>
      </c>
      <c r="AG794" s="11">
        <v>45749</v>
      </c>
      <c r="AH794" s="5" t="s">
        <v>2930</v>
      </c>
      <c r="AI794" s="5" t="s">
        <v>1850</v>
      </c>
      <c r="AJ794" s="5" t="s">
        <v>928</v>
      </c>
      <c r="AK794" s="16" t="s">
        <v>3</v>
      </c>
      <c r="AL794" s="65" t="s">
        <v>2715</v>
      </c>
      <c r="AM794" s="31" t="s">
        <v>898</v>
      </c>
    </row>
    <row r="795" spans="2:39" x14ac:dyDescent="0.25">
      <c r="B795" s="18" t="s">
        <v>2579</v>
      </c>
      <c r="C795" s="44" t="s">
        <v>145</v>
      </c>
      <c r="D795" s="20" t="s">
        <v>4043</v>
      </c>
      <c r="E795" s="67" t="s">
        <v>3</v>
      </c>
      <c r="F795" s="51" t="s">
        <v>3</v>
      </c>
      <c r="G795" s="37" t="s">
        <v>1256</v>
      </c>
      <c r="H795" s="68" t="s">
        <v>2715</v>
      </c>
      <c r="I795" s="62" t="s">
        <v>3310</v>
      </c>
      <c r="J795" s="61" t="s">
        <v>250</v>
      </c>
      <c r="K795" s="4">
        <v>5469955</v>
      </c>
      <c r="L795" s="39">
        <v>100.29600000000001</v>
      </c>
      <c r="M795" s="4">
        <v>5486633</v>
      </c>
      <c r="N795" s="4">
        <v>5470462</v>
      </c>
      <c r="O795" s="4">
        <v>5469965</v>
      </c>
      <c r="P795" s="4">
        <v>0</v>
      </c>
      <c r="Q795" s="4">
        <v>10</v>
      </c>
      <c r="R795" s="4">
        <v>0</v>
      </c>
      <c r="S795" s="4">
        <v>0</v>
      </c>
      <c r="T795" s="23">
        <v>1.55</v>
      </c>
      <c r="U795" s="23">
        <v>1.5569999999999999</v>
      </c>
      <c r="V795" s="5" t="s">
        <v>415</v>
      </c>
      <c r="W795" s="4">
        <v>707</v>
      </c>
      <c r="X795" s="4">
        <v>18843</v>
      </c>
      <c r="Y795" s="11">
        <v>44105</v>
      </c>
      <c r="Z795" s="11">
        <v>49733</v>
      </c>
      <c r="AA795" s="2"/>
      <c r="AB795" s="63" t="s">
        <v>3840</v>
      </c>
      <c r="AC795" s="5" t="s">
        <v>9</v>
      </c>
      <c r="AD795" s="76" t="s">
        <v>1987</v>
      </c>
      <c r="AE795" s="10">
        <v>46719</v>
      </c>
      <c r="AF795" s="23">
        <v>100</v>
      </c>
      <c r="AG795" s="11">
        <v>47389</v>
      </c>
      <c r="AH795" s="5" t="s">
        <v>3</v>
      </c>
      <c r="AI795" s="5" t="s">
        <v>1850</v>
      </c>
      <c r="AJ795" s="5" t="s">
        <v>2042</v>
      </c>
      <c r="AK795" s="16" t="s">
        <v>3</v>
      </c>
      <c r="AL795" s="65" t="s">
        <v>3842</v>
      </c>
      <c r="AM795" s="31" t="s">
        <v>2217</v>
      </c>
    </row>
    <row r="796" spans="2:39" x14ac:dyDescent="0.25">
      <c r="B796" s="18" t="s">
        <v>3689</v>
      </c>
      <c r="C796" s="44" t="s">
        <v>4354</v>
      </c>
      <c r="D796" s="20" t="s">
        <v>4353</v>
      </c>
      <c r="E796" s="67" t="s">
        <v>3</v>
      </c>
      <c r="F796" s="51" t="s">
        <v>3</v>
      </c>
      <c r="G796" s="37" t="s">
        <v>1256</v>
      </c>
      <c r="H796" s="68" t="s">
        <v>2715</v>
      </c>
      <c r="I796" s="62" t="s">
        <v>1358</v>
      </c>
      <c r="J796" s="61" t="s">
        <v>250</v>
      </c>
      <c r="K796" s="4">
        <v>2263267</v>
      </c>
      <c r="L796" s="39">
        <v>100.492</v>
      </c>
      <c r="M796" s="4">
        <v>2274749</v>
      </c>
      <c r="N796" s="4">
        <v>2263612</v>
      </c>
      <c r="O796" s="4">
        <v>2263273</v>
      </c>
      <c r="P796" s="4">
        <v>0</v>
      </c>
      <c r="Q796" s="4">
        <v>6</v>
      </c>
      <c r="R796" s="4">
        <v>0</v>
      </c>
      <c r="S796" s="4">
        <v>0</v>
      </c>
      <c r="T796" s="23">
        <v>2.4900000000000002</v>
      </c>
      <c r="U796" s="23">
        <v>2.5070000000000001</v>
      </c>
      <c r="V796" s="5" t="s">
        <v>415</v>
      </c>
      <c r="W796" s="4">
        <v>470</v>
      </c>
      <c r="X796" s="4">
        <v>12525</v>
      </c>
      <c r="Y796" s="11">
        <v>44105</v>
      </c>
      <c r="Z796" s="11">
        <v>49733</v>
      </c>
      <c r="AA796" s="2"/>
      <c r="AB796" s="63" t="s">
        <v>3840</v>
      </c>
      <c r="AC796" s="5" t="s">
        <v>9</v>
      </c>
      <c r="AD796" s="76" t="s">
        <v>1987</v>
      </c>
      <c r="AE796" s="11">
        <v>46719</v>
      </c>
      <c r="AF796" s="23">
        <v>100</v>
      </c>
      <c r="AG796" s="11">
        <v>47389</v>
      </c>
      <c r="AH796" s="5" t="s">
        <v>3</v>
      </c>
      <c r="AI796" s="5" t="s">
        <v>1850</v>
      </c>
      <c r="AJ796" s="5" t="s">
        <v>928</v>
      </c>
      <c r="AK796" s="16" t="s">
        <v>3</v>
      </c>
      <c r="AL796" s="65" t="s">
        <v>929</v>
      </c>
      <c r="AM796" s="31" t="s">
        <v>559</v>
      </c>
    </row>
    <row r="797" spans="2:39" x14ac:dyDescent="0.25">
      <c r="B797" s="18" t="s">
        <v>419</v>
      </c>
      <c r="C797" s="44" t="s">
        <v>2931</v>
      </c>
      <c r="D797" s="20" t="s">
        <v>4355</v>
      </c>
      <c r="E797" s="67" t="s">
        <v>3</v>
      </c>
      <c r="F797" s="51" t="s">
        <v>3</v>
      </c>
      <c r="G797" s="37" t="s">
        <v>1256</v>
      </c>
      <c r="H797" s="68" t="s">
        <v>2715</v>
      </c>
      <c r="I797" s="62" t="s">
        <v>3310</v>
      </c>
      <c r="J797" s="61" t="s">
        <v>250</v>
      </c>
      <c r="K797" s="4">
        <v>4749558</v>
      </c>
      <c r="L797" s="39">
        <v>100.916</v>
      </c>
      <c r="M797" s="4">
        <v>4793503</v>
      </c>
      <c r="N797" s="4">
        <v>4750000</v>
      </c>
      <c r="O797" s="4">
        <v>4749750</v>
      </c>
      <c r="P797" s="4">
        <v>0</v>
      </c>
      <c r="Q797" s="4">
        <v>59</v>
      </c>
      <c r="R797" s="4">
        <v>0</v>
      </c>
      <c r="S797" s="4">
        <v>0</v>
      </c>
      <c r="T797" s="23">
        <v>3.09</v>
      </c>
      <c r="U797" s="23">
        <v>3.1120000000000001</v>
      </c>
      <c r="V797" s="5" t="s">
        <v>415</v>
      </c>
      <c r="W797" s="4">
        <v>6931</v>
      </c>
      <c r="X797" s="4">
        <v>146775</v>
      </c>
      <c r="Y797" s="11">
        <v>43136</v>
      </c>
      <c r="Z797" s="11">
        <v>45824</v>
      </c>
      <c r="AA797" s="2"/>
      <c r="AB797" s="63" t="s">
        <v>3840</v>
      </c>
      <c r="AC797" s="5" t="s">
        <v>9</v>
      </c>
      <c r="AD797" s="76" t="s">
        <v>4350</v>
      </c>
      <c r="AE797" s="11">
        <v>44361</v>
      </c>
      <c r="AF797" s="23">
        <v>100</v>
      </c>
      <c r="AG797" s="11">
        <v>44575</v>
      </c>
      <c r="AH797" s="5" t="s">
        <v>3</v>
      </c>
      <c r="AI797" s="5" t="s">
        <v>2580</v>
      </c>
      <c r="AJ797" s="5" t="s">
        <v>928</v>
      </c>
      <c r="AK797" s="16" t="s">
        <v>3</v>
      </c>
      <c r="AL797" s="65" t="s">
        <v>929</v>
      </c>
      <c r="AM797" s="31" t="s">
        <v>2217</v>
      </c>
    </row>
    <row r="798" spans="2:39" x14ac:dyDescent="0.25">
      <c r="B798" s="18" t="s">
        <v>1483</v>
      </c>
      <c r="C798" s="44" t="s">
        <v>2932</v>
      </c>
      <c r="D798" s="20" t="s">
        <v>4355</v>
      </c>
      <c r="E798" s="67" t="s">
        <v>3</v>
      </c>
      <c r="F798" s="51" t="s">
        <v>3</v>
      </c>
      <c r="G798" s="37" t="s">
        <v>1256</v>
      </c>
      <c r="H798" s="68" t="s">
        <v>2715</v>
      </c>
      <c r="I798" s="62" t="s">
        <v>252</v>
      </c>
      <c r="J798" s="61" t="s">
        <v>250</v>
      </c>
      <c r="K798" s="4">
        <v>1749754</v>
      </c>
      <c r="L798" s="39">
        <v>101</v>
      </c>
      <c r="M798" s="4">
        <v>1767506</v>
      </c>
      <c r="N798" s="4">
        <v>1750000</v>
      </c>
      <c r="O798" s="4">
        <v>1749887</v>
      </c>
      <c r="P798" s="4">
        <v>0</v>
      </c>
      <c r="Q798" s="4">
        <v>48</v>
      </c>
      <c r="R798" s="4">
        <v>0</v>
      </c>
      <c r="S798" s="4">
        <v>0</v>
      </c>
      <c r="T798" s="23">
        <v>3.42</v>
      </c>
      <c r="U798" s="23">
        <v>3.4470000000000001</v>
      </c>
      <c r="V798" s="5" t="s">
        <v>415</v>
      </c>
      <c r="W798" s="4">
        <v>2826</v>
      </c>
      <c r="X798" s="4">
        <v>59850</v>
      </c>
      <c r="Y798" s="11">
        <v>43136</v>
      </c>
      <c r="Z798" s="11">
        <v>45824</v>
      </c>
      <c r="AA798" s="2"/>
      <c r="AB798" s="63" t="s">
        <v>3840</v>
      </c>
      <c r="AC798" s="5" t="s">
        <v>9</v>
      </c>
      <c r="AD798" s="76" t="s">
        <v>4350</v>
      </c>
      <c r="AE798" s="11">
        <v>44361</v>
      </c>
      <c r="AF798" s="23">
        <v>100</v>
      </c>
      <c r="AG798" s="11">
        <v>44756</v>
      </c>
      <c r="AH798" s="5" t="s">
        <v>3</v>
      </c>
      <c r="AI798" s="5" t="s">
        <v>2580</v>
      </c>
      <c r="AJ798" s="5" t="s">
        <v>928</v>
      </c>
      <c r="AK798" s="16" t="s">
        <v>3</v>
      </c>
      <c r="AL798" s="65" t="s">
        <v>929</v>
      </c>
      <c r="AM798" s="31" t="s">
        <v>898</v>
      </c>
    </row>
    <row r="799" spans="2:39" x14ac:dyDescent="0.25">
      <c r="B799" s="18" t="s">
        <v>2933</v>
      </c>
      <c r="C799" s="44" t="s">
        <v>420</v>
      </c>
      <c r="D799" s="20" t="s">
        <v>421</v>
      </c>
      <c r="E799" s="67" t="s">
        <v>3</v>
      </c>
      <c r="F799" s="51" t="s">
        <v>3</v>
      </c>
      <c r="G799" s="37" t="s">
        <v>3842</v>
      </c>
      <c r="H799" s="68" t="s">
        <v>2715</v>
      </c>
      <c r="I799" s="62" t="s">
        <v>1157</v>
      </c>
      <c r="J799" s="61" t="s">
        <v>250</v>
      </c>
      <c r="K799" s="4">
        <v>4034219</v>
      </c>
      <c r="L799" s="39">
        <v>101.02</v>
      </c>
      <c r="M799" s="4">
        <v>4040813</v>
      </c>
      <c r="N799" s="4">
        <v>4000000</v>
      </c>
      <c r="O799" s="4">
        <v>4033463</v>
      </c>
      <c r="P799" s="4">
        <v>0</v>
      </c>
      <c r="Q799" s="4">
        <v>-756</v>
      </c>
      <c r="R799" s="4">
        <v>0</v>
      </c>
      <c r="S799" s="4">
        <v>0</v>
      </c>
      <c r="T799" s="23">
        <v>1.19</v>
      </c>
      <c r="U799" s="23">
        <v>0.9</v>
      </c>
      <c r="V799" s="5" t="s">
        <v>415</v>
      </c>
      <c r="W799" s="4">
        <v>2248</v>
      </c>
      <c r="X799" s="4">
        <v>3967</v>
      </c>
      <c r="Y799" s="11">
        <v>44168</v>
      </c>
      <c r="Z799" s="11">
        <v>46735</v>
      </c>
      <c r="AA799" s="2"/>
      <c r="AB799" s="63" t="s">
        <v>3840</v>
      </c>
      <c r="AC799" s="5" t="s">
        <v>9</v>
      </c>
      <c r="AD799" s="76" t="s">
        <v>4350</v>
      </c>
      <c r="AE799" s="10">
        <v>45305</v>
      </c>
      <c r="AF799" s="23">
        <v>100</v>
      </c>
      <c r="AG799" s="11">
        <v>45336</v>
      </c>
      <c r="AH799" s="5" t="s">
        <v>3</v>
      </c>
      <c r="AI799" s="5" t="s">
        <v>2333</v>
      </c>
      <c r="AJ799" s="5" t="s">
        <v>928</v>
      </c>
      <c r="AK799" s="16" t="s">
        <v>3</v>
      </c>
      <c r="AL799" s="65" t="s">
        <v>2715</v>
      </c>
      <c r="AM799" s="31" t="s">
        <v>1631</v>
      </c>
    </row>
    <row r="800" spans="2:39" x14ac:dyDescent="0.25">
      <c r="B800" s="18" t="s">
        <v>422</v>
      </c>
      <c r="C800" s="44" t="s">
        <v>423</v>
      </c>
      <c r="D800" s="20" t="s">
        <v>421</v>
      </c>
      <c r="E800" s="67" t="s">
        <v>3</v>
      </c>
      <c r="F800" s="51" t="s">
        <v>3</v>
      </c>
      <c r="G800" s="37" t="s">
        <v>1256</v>
      </c>
      <c r="H800" s="68" t="s">
        <v>2715</v>
      </c>
      <c r="I800" s="62" t="s">
        <v>252</v>
      </c>
      <c r="J800" s="61" t="s">
        <v>250</v>
      </c>
      <c r="K800" s="4">
        <v>3499527</v>
      </c>
      <c r="L800" s="39">
        <v>101.563</v>
      </c>
      <c r="M800" s="4">
        <v>3554716</v>
      </c>
      <c r="N800" s="4">
        <v>3500000</v>
      </c>
      <c r="O800" s="4">
        <v>3499568</v>
      </c>
      <c r="P800" s="4">
        <v>0</v>
      </c>
      <c r="Q800" s="4">
        <v>42</v>
      </c>
      <c r="R800" s="4">
        <v>0</v>
      </c>
      <c r="S800" s="4">
        <v>0</v>
      </c>
      <c r="T800" s="23">
        <v>1.84</v>
      </c>
      <c r="U800" s="23">
        <v>1.851</v>
      </c>
      <c r="V800" s="5" t="s">
        <v>415</v>
      </c>
      <c r="W800" s="4">
        <v>3041</v>
      </c>
      <c r="X800" s="4">
        <v>21467</v>
      </c>
      <c r="Y800" s="11">
        <v>44047</v>
      </c>
      <c r="Z800" s="11">
        <v>46735</v>
      </c>
      <c r="AA800" s="2"/>
      <c r="AB800" s="63" t="s">
        <v>3840</v>
      </c>
      <c r="AC800" s="5" t="s">
        <v>9</v>
      </c>
      <c r="AD800" s="76" t="s">
        <v>4350</v>
      </c>
      <c r="AE800" s="10">
        <v>45365</v>
      </c>
      <c r="AF800" s="23">
        <v>100</v>
      </c>
      <c r="AG800" s="11">
        <v>45671</v>
      </c>
      <c r="AH800" s="5" t="s">
        <v>3</v>
      </c>
      <c r="AI800" s="5" t="s">
        <v>2333</v>
      </c>
      <c r="AJ800" s="5" t="s">
        <v>928</v>
      </c>
      <c r="AK800" s="16" t="s">
        <v>3</v>
      </c>
      <c r="AL800" s="65" t="s">
        <v>929</v>
      </c>
      <c r="AM800" s="31" t="s">
        <v>898</v>
      </c>
    </row>
    <row r="801" spans="2:39" x14ac:dyDescent="0.25">
      <c r="B801" s="18" t="s">
        <v>1484</v>
      </c>
      <c r="C801" s="44" t="s">
        <v>1485</v>
      </c>
      <c r="D801" s="20" t="s">
        <v>1486</v>
      </c>
      <c r="E801" s="67" t="s">
        <v>3</v>
      </c>
      <c r="F801" s="51" t="s">
        <v>3</v>
      </c>
      <c r="G801" s="37" t="s">
        <v>1256</v>
      </c>
      <c r="H801" s="68" t="s">
        <v>2715</v>
      </c>
      <c r="I801" s="62" t="s">
        <v>1157</v>
      </c>
      <c r="J801" s="61" t="s">
        <v>250</v>
      </c>
      <c r="K801" s="4">
        <v>7499375</v>
      </c>
      <c r="L801" s="39">
        <v>102.592</v>
      </c>
      <c r="M801" s="4">
        <v>7694377</v>
      </c>
      <c r="N801" s="4">
        <v>7500000</v>
      </c>
      <c r="O801" s="4">
        <v>7499625</v>
      </c>
      <c r="P801" s="4">
        <v>0</v>
      </c>
      <c r="Q801" s="4">
        <v>124</v>
      </c>
      <c r="R801" s="4">
        <v>0</v>
      </c>
      <c r="S801" s="4">
        <v>0</v>
      </c>
      <c r="T801" s="23">
        <v>3.48</v>
      </c>
      <c r="U801" s="23">
        <v>3.5070000000000001</v>
      </c>
      <c r="V801" s="5" t="s">
        <v>415</v>
      </c>
      <c r="W801" s="4">
        <v>12325</v>
      </c>
      <c r="X801" s="4">
        <v>261000</v>
      </c>
      <c r="Y801" s="11">
        <v>43333</v>
      </c>
      <c r="Z801" s="11">
        <v>46006</v>
      </c>
      <c r="AA801" s="2"/>
      <c r="AB801" s="63" t="s">
        <v>3840</v>
      </c>
      <c r="AC801" s="5" t="s">
        <v>9</v>
      </c>
      <c r="AD801" s="76" t="s">
        <v>4350</v>
      </c>
      <c r="AE801" s="10">
        <v>44606</v>
      </c>
      <c r="AF801" s="23">
        <v>100</v>
      </c>
      <c r="AG801" s="11">
        <v>44818</v>
      </c>
      <c r="AH801" s="5" t="s">
        <v>3</v>
      </c>
      <c r="AI801" s="5" t="s">
        <v>3690</v>
      </c>
      <c r="AJ801" s="5" t="s">
        <v>928</v>
      </c>
      <c r="AK801" s="16" t="s">
        <v>3</v>
      </c>
      <c r="AL801" s="65" t="s">
        <v>929</v>
      </c>
      <c r="AM801" s="31" t="s">
        <v>1631</v>
      </c>
    </row>
    <row r="802" spans="2:39" x14ac:dyDescent="0.25">
      <c r="B802" s="18" t="s">
        <v>2581</v>
      </c>
      <c r="C802" s="44" t="s">
        <v>4044</v>
      </c>
      <c r="D802" s="20" t="s">
        <v>1486</v>
      </c>
      <c r="E802" s="67" t="s">
        <v>3</v>
      </c>
      <c r="F802" s="51" t="s">
        <v>3</v>
      </c>
      <c r="G802" s="37" t="s">
        <v>1256</v>
      </c>
      <c r="H802" s="68" t="s">
        <v>2715</v>
      </c>
      <c r="I802" s="62" t="s">
        <v>252</v>
      </c>
      <c r="J802" s="61" t="s">
        <v>250</v>
      </c>
      <c r="K802" s="4">
        <v>2279447</v>
      </c>
      <c r="L802" s="39">
        <v>103.00700000000001</v>
      </c>
      <c r="M802" s="4">
        <v>2348552</v>
      </c>
      <c r="N802" s="4">
        <v>2280000</v>
      </c>
      <c r="O802" s="4">
        <v>2279678</v>
      </c>
      <c r="P802" s="4">
        <v>0</v>
      </c>
      <c r="Q802" s="4">
        <v>103</v>
      </c>
      <c r="R802" s="4">
        <v>0</v>
      </c>
      <c r="S802" s="4">
        <v>0</v>
      </c>
      <c r="T802" s="23">
        <v>3.87</v>
      </c>
      <c r="U802" s="23">
        <v>3.9060000000000001</v>
      </c>
      <c r="V802" s="5" t="s">
        <v>415</v>
      </c>
      <c r="W802" s="4">
        <v>4167</v>
      </c>
      <c r="X802" s="4">
        <v>88236</v>
      </c>
      <c r="Y802" s="11">
        <v>43333</v>
      </c>
      <c r="Z802" s="11">
        <v>46006</v>
      </c>
      <c r="AA802" s="2"/>
      <c r="AB802" s="63" t="s">
        <v>3840</v>
      </c>
      <c r="AC802" s="5" t="s">
        <v>9</v>
      </c>
      <c r="AD802" s="76" t="s">
        <v>4350</v>
      </c>
      <c r="AE802" s="10">
        <v>44606</v>
      </c>
      <c r="AF802" s="23">
        <v>100</v>
      </c>
      <c r="AG802" s="11">
        <v>44999</v>
      </c>
      <c r="AH802" s="5" t="s">
        <v>3</v>
      </c>
      <c r="AI802" s="5" t="s">
        <v>3690</v>
      </c>
      <c r="AJ802" s="5" t="s">
        <v>928</v>
      </c>
      <c r="AK802" s="16" t="s">
        <v>3</v>
      </c>
      <c r="AL802" s="65" t="s">
        <v>929</v>
      </c>
      <c r="AM802" s="31" t="s">
        <v>898</v>
      </c>
    </row>
    <row r="803" spans="2:39" x14ac:dyDescent="0.25">
      <c r="B803" s="18" t="s">
        <v>3691</v>
      </c>
      <c r="C803" s="44" t="s">
        <v>2582</v>
      </c>
      <c r="D803" s="20" t="s">
        <v>4045</v>
      </c>
      <c r="E803" s="67" t="s">
        <v>3</v>
      </c>
      <c r="F803" s="51" t="s">
        <v>3</v>
      </c>
      <c r="G803" s="37" t="s">
        <v>1256</v>
      </c>
      <c r="H803" s="68" t="s">
        <v>2715</v>
      </c>
      <c r="I803" s="62" t="s">
        <v>252</v>
      </c>
      <c r="J803" s="61" t="s">
        <v>250</v>
      </c>
      <c r="K803" s="4">
        <v>2999858</v>
      </c>
      <c r="L803" s="39">
        <v>102.55200000000001</v>
      </c>
      <c r="M803" s="4">
        <v>3076556</v>
      </c>
      <c r="N803" s="4">
        <v>3000000</v>
      </c>
      <c r="O803" s="4">
        <v>2999870</v>
      </c>
      <c r="P803" s="4">
        <v>0</v>
      </c>
      <c r="Q803" s="4">
        <v>11</v>
      </c>
      <c r="R803" s="4">
        <v>0</v>
      </c>
      <c r="S803" s="4">
        <v>0</v>
      </c>
      <c r="T803" s="23">
        <v>2.5499999999999998</v>
      </c>
      <c r="U803" s="23">
        <v>2.5640000000000001</v>
      </c>
      <c r="V803" s="5" t="s">
        <v>415</v>
      </c>
      <c r="W803" s="4">
        <v>3613</v>
      </c>
      <c r="X803" s="4">
        <v>76500</v>
      </c>
      <c r="Y803" s="11">
        <v>43774</v>
      </c>
      <c r="Z803" s="11">
        <v>46461</v>
      </c>
      <c r="AA803" s="2"/>
      <c r="AB803" s="63" t="s">
        <v>3840</v>
      </c>
      <c r="AC803" s="5" t="s">
        <v>9</v>
      </c>
      <c r="AD803" s="76" t="s">
        <v>4350</v>
      </c>
      <c r="AE803" s="10">
        <v>45091</v>
      </c>
      <c r="AF803" s="23">
        <v>100</v>
      </c>
      <c r="AG803" s="11">
        <v>45274</v>
      </c>
      <c r="AH803" s="5" t="s">
        <v>3</v>
      </c>
      <c r="AI803" s="5" t="s">
        <v>1487</v>
      </c>
      <c r="AJ803" s="5" t="s">
        <v>928</v>
      </c>
      <c r="AK803" s="16" t="s">
        <v>3</v>
      </c>
      <c r="AL803" s="65" t="s">
        <v>929</v>
      </c>
      <c r="AM803" s="31" t="s">
        <v>898</v>
      </c>
    </row>
    <row r="804" spans="2:39" x14ac:dyDescent="0.25">
      <c r="B804" s="18" t="s">
        <v>424</v>
      </c>
      <c r="C804" s="44" t="s">
        <v>2583</v>
      </c>
      <c r="D804" s="20" t="s">
        <v>4045</v>
      </c>
      <c r="E804" s="67" t="s">
        <v>3</v>
      </c>
      <c r="F804" s="51" t="s">
        <v>3</v>
      </c>
      <c r="G804" s="37" t="s">
        <v>1256</v>
      </c>
      <c r="H804" s="68" t="s">
        <v>3842</v>
      </c>
      <c r="I804" s="62" t="s">
        <v>3310</v>
      </c>
      <c r="J804" s="61" t="s">
        <v>250</v>
      </c>
      <c r="K804" s="4">
        <v>2418387</v>
      </c>
      <c r="L804" s="39">
        <v>102.471</v>
      </c>
      <c r="M804" s="4">
        <v>2478766</v>
      </c>
      <c r="N804" s="4">
        <v>2419000</v>
      </c>
      <c r="O804" s="4">
        <v>2418517</v>
      </c>
      <c r="P804" s="4">
        <v>0</v>
      </c>
      <c r="Q804" s="4">
        <v>116</v>
      </c>
      <c r="R804" s="4">
        <v>0</v>
      </c>
      <c r="S804" s="4">
        <v>0</v>
      </c>
      <c r="T804" s="23">
        <v>2.89</v>
      </c>
      <c r="U804" s="23">
        <v>2.9129999999999998</v>
      </c>
      <c r="V804" s="5" t="s">
        <v>415</v>
      </c>
      <c r="W804" s="4">
        <v>3301</v>
      </c>
      <c r="X804" s="4">
        <v>69909</v>
      </c>
      <c r="Y804" s="11">
        <v>43774</v>
      </c>
      <c r="Z804" s="11">
        <v>46461</v>
      </c>
      <c r="AA804" s="2"/>
      <c r="AB804" s="63" t="s">
        <v>3840</v>
      </c>
      <c r="AC804" s="5" t="s">
        <v>9</v>
      </c>
      <c r="AD804" s="76" t="s">
        <v>4350</v>
      </c>
      <c r="AE804" s="11">
        <v>45091</v>
      </c>
      <c r="AF804" s="23">
        <v>100</v>
      </c>
      <c r="AG804" s="11">
        <v>45457</v>
      </c>
      <c r="AH804" s="5" t="s">
        <v>3</v>
      </c>
      <c r="AI804" s="5" t="s">
        <v>1487</v>
      </c>
      <c r="AJ804" s="5" t="s">
        <v>928</v>
      </c>
      <c r="AK804" s="16" t="s">
        <v>3</v>
      </c>
      <c r="AL804" s="65" t="s">
        <v>929</v>
      </c>
      <c r="AM804" s="31" t="s">
        <v>1651</v>
      </c>
    </row>
    <row r="805" spans="2:39" x14ac:dyDescent="0.25">
      <c r="B805" s="18" t="s">
        <v>1488</v>
      </c>
      <c r="C805" s="44" t="s">
        <v>4046</v>
      </c>
      <c r="D805" s="20" t="s">
        <v>2334</v>
      </c>
      <c r="E805" s="67" t="s">
        <v>3</v>
      </c>
      <c r="F805" s="51" t="s">
        <v>3</v>
      </c>
      <c r="G805" s="37" t="s">
        <v>1256</v>
      </c>
      <c r="H805" s="68" t="s">
        <v>2715</v>
      </c>
      <c r="I805" s="62" t="s">
        <v>1157</v>
      </c>
      <c r="J805" s="61" t="s">
        <v>250</v>
      </c>
      <c r="K805" s="4">
        <v>4998828</v>
      </c>
      <c r="L805" s="39">
        <v>103.825</v>
      </c>
      <c r="M805" s="4">
        <v>5191231</v>
      </c>
      <c r="N805" s="4">
        <v>5000000</v>
      </c>
      <c r="O805" s="4">
        <v>4999256</v>
      </c>
      <c r="P805" s="4">
        <v>0</v>
      </c>
      <c r="Q805" s="4">
        <v>254</v>
      </c>
      <c r="R805" s="4">
        <v>0</v>
      </c>
      <c r="S805" s="4">
        <v>0</v>
      </c>
      <c r="T805" s="23">
        <v>3.22</v>
      </c>
      <c r="U805" s="23">
        <v>3.2469999999999999</v>
      </c>
      <c r="V805" s="5" t="s">
        <v>415</v>
      </c>
      <c r="W805" s="4">
        <v>7603</v>
      </c>
      <c r="X805" s="4">
        <v>161000</v>
      </c>
      <c r="Y805" s="11">
        <v>43564</v>
      </c>
      <c r="Z805" s="11">
        <v>46279</v>
      </c>
      <c r="AA805" s="2"/>
      <c r="AB805" s="63" t="s">
        <v>3840</v>
      </c>
      <c r="AC805" s="5" t="s">
        <v>9</v>
      </c>
      <c r="AD805" s="76" t="s">
        <v>4350</v>
      </c>
      <c r="AE805" s="11">
        <v>44848</v>
      </c>
      <c r="AF805" s="23">
        <v>100</v>
      </c>
      <c r="AG805" s="11">
        <v>45060</v>
      </c>
      <c r="AH805" s="5" t="s">
        <v>3</v>
      </c>
      <c r="AI805" s="5" t="s">
        <v>425</v>
      </c>
      <c r="AJ805" s="5" t="s">
        <v>928</v>
      </c>
      <c r="AK805" s="16" t="s">
        <v>3</v>
      </c>
      <c r="AL805" s="65" t="s">
        <v>929</v>
      </c>
      <c r="AM805" s="31" t="s">
        <v>1631</v>
      </c>
    </row>
    <row r="806" spans="2:39" x14ac:dyDescent="0.25">
      <c r="B806" s="18" t="s">
        <v>2584</v>
      </c>
      <c r="C806" s="44" t="s">
        <v>745</v>
      </c>
      <c r="D806" s="20" t="s">
        <v>4047</v>
      </c>
      <c r="E806" s="67" t="s">
        <v>3</v>
      </c>
      <c r="F806" s="51" t="s">
        <v>3</v>
      </c>
      <c r="G806" s="37" t="s">
        <v>1987</v>
      </c>
      <c r="H806" s="68" t="s">
        <v>2715</v>
      </c>
      <c r="I806" s="62" t="s">
        <v>252</v>
      </c>
      <c r="J806" s="61" t="s">
        <v>250</v>
      </c>
      <c r="K806" s="4">
        <v>4209552</v>
      </c>
      <c r="L806" s="39">
        <v>101.97499999999999</v>
      </c>
      <c r="M806" s="4">
        <v>4292743</v>
      </c>
      <c r="N806" s="4">
        <v>4209588</v>
      </c>
      <c r="O806" s="4">
        <v>4209514</v>
      </c>
      <c r="P806" s="4">
        <v>0</v>
      </c>
      <c r="Q806" s="4">
        <v>-9</v>
      </c>
      <c r="R806" s="4">
        <v>0</v>
      </c>
      <c r="S806" s="4">
        <v>0</v>
      </c>
      <c r="T806" s="23">
        <v>3.71</v>
      </c>
      <c r="U806" s="23">
        <v>3.738</v>
      </c>
      <c r="V806" s="5" t="s">
        <v>415</v>
      </c>
      <c r="W806" s="4">
        <v>5640</v>
      </c>
      <c r="X806" s="4">
        <v>156176</v>
      </c>
      <c r="Y806" s="11">
        <v>43592</v>
      </c>
      <c r="Z806" s="11">
        <v>52735</v>
      </c>
      <c r="AA806" s="2"/>
      <c r="AB806" s="63" t="s">
        <v>3840</v>
      </c>
      <c r="AC806" s="5" t="s">
        <v>9</v>
      </c>
      <c r="AD806" s="76" t="s">
        <v>143</v>
      </c>
      <c r="AE806" s="9"/>
      <c r="AF806" s="23"/>
      <c r="AG806" s="11">
        <v>47256</v>
      </c>
      <c r="AH806" s="5" t="s">
        <v>3</v>
      </c>
      <c r="AI806" s="5" t="s">
        <v>2585</v>
      </c>
      <c r="AJ806" s="5" t="s">
        <v>928</v>
      </c>
      <c r="AK806" s="16" t="s">
        <v>3</v>
      </c>
      <c r="AL806" s="65" t="s">
        <v>3842</v>
      </c>
      <c r="AM806" s="31" t="s">
        <v>898</v>
      </c>
    </row>
    <row r="807" spans="2:39" x14ac:dyDescent="0.25">
      <c r="B807" s="18" t="s">
        <v>4048</v>
      </c>
      <c r="C807" s="44" t="s">
        <v>3223</v>
      </c>
      <c r="D807" s="20" t="s">
        <v>4356</v>
      </c>
      <c r="E807" s="67" t="s">
        <v>3</v>
      </c>
      <c r="F807" s="51" t="s">
        <v>3</v>
      </c>
      <c r="G807" s="37" t="s">
        <v>1256</v>
      </c>
      <c r="H807" s="68" t="s">
        <v>2715</v>
      </c>
      <c r="I807" s="62" t="s">
        <v>252</v>
      </c>
      <c r="J807" s="61" t="s">
        <v>250</v>
      </c>
      <c r="K807" s="4">
        <v>9645554</v>
      </c>
      <c r="L807" s="39">
        <v>101.053</v>
      </c>
      <c r="M807" s="4">
        <v>9751657</v>
      </c>
      <c r="N807" s="4">
        <v>9650000</v>
      </c>
      <c r="O807" s="4">
        <v>9645670</v>
      </c>
      <c r="P807" s="4">
        <v>0</v>
      </c>
      <c r="Q807" s="4">
        <v>116</v>
      </c>
      <c r="R807" s="4">
        <v>0</v>
      </c>
      <c r="S807" s="4">
        <v>0</v>
      </c>
      <c r="T807" s="23">
        <v>2.08</v>
      </c>
      <c r="U807" s="23">
        <v>2.097</v>
      </c>
      <c r="V807" s="5" t="s">
        <v>415</v>
      </c>
      <c r="W807" s="4">
        <v>7248</v>
      </c>
      <c r="X807" s="4">
        <v>50738</v>
      </c>
      <c r="Y807" s="11">
        <v>44070</v>
      </c>
      <c r="Z807" s="11">
        <v>53223</v>
      </c>
      <c r="AA807" s="2"/>
      <c r="AB807" s="63" t="s">
        <v>3840</v>
      </c>
      <c r="AC807" s="5" t="s">
        <v>9</v>
      </c>
      <c r="AD807" s="76" t="s">
        <v>4350</v>
      </c>
      <c r="AE807" s="11">
        <v>44852</v>
      </c>
      <c r="AF807" s="23">
        <v>100</v>
      </c>
      <c r="AG807" s="11">
        <v>47744</v>
      </c>
      <c r="AH807" s="5" t="s">
        <v>3</v>
      </c>
      <c r="AI807" s="5" t="s">
        <v>746</v>
      </c>
      <c r="AJ807" s="5" t="s">
        <v>928</v>
      </c>
      <c r="AK807" s="16" t="s">
        <v>3</v>
      </c>
      <c r="AL807" s="65" t="s">
        <v>3842</v>
      </c>
      <c r="AM807" s="31" t="s">
        <v>898</v>
      </c>
    </row>
    <row r="808" spans="2:39" x14ac:dyDescent="0.25">
      <c r="B808" s="18" t="s">
        <v>747</v>
      </c>
      <c r="C808" s="44" t="s">
        <v>4357</v>
      </c>
      <c r="D808" s="20" t="s">
        <v>1489</v>
      </c>
      <c r="E808" s="67" t="s">
        <v>3</v>
      </c>
      <c r="F808" s="51" t="s">
        <v>3</v>
      </c>
      <c r="G808" s="37" t="s">
        <v>1987</v>
      </c>
      <c r="H808" s="68" t="s">
        <v>2715</v>
      </c>
      <c r="I808" s="62" t="s">
        <v>252</v>
      </c>
      <c r="J808" s="61" t="s">
        <v>250</v>
      </c>
      <c r="K808" s="4">
        <v>9722996</v>
      </c>
      <c r="L808" s="39">
        <v>100.857</v>
      </c>
      <c r="M808" s="4">
        <v>9808333</v>
      </c>
      <c r="N808" s="4">
        <v>9725000</v>
      </c>
      <c r="O808" s="4">
        <v>9723036</v>
      </c>
      <c r="P808" s="4">
        <v>0</v>
      </c>
      <c r="Q808" s="4">
        <v>41</v>
      </c>
      <c r="R808" s="4">
        <v>0</v>
      </c>
      <c r="S808" s="4">
        <v>0</v>
      </c>
      <c r="T808" s="23">
        <v>2.0699999999999998</v>
      </c>
      <c r="U808" s="23">
        <v>2.0830000000000002</v>
      </c>
      <c r="V808" s="5" t="s">
        <v>415</v>
      </c>
      <c r="W808" s="4">
        <v>7269</v>
      </c>
      <c r="X808" s="4">
        <v>33551</v>
      </c>
      <c r="Y808" s="11">
        <v>44106</v>
      </c>
      <c r="Z808" s="11">
        <v>53253</v>
      </c>
      <c r="AA808" s="2"/>
      <c r="AB808" s="63" t="s">
        <v>3840</v>
      </c>
      <c r="AC808" s="5" t="s">
        <v>9</v>
      </c>
      <c r="AD808" s="76" t="s">
        <v>143</v>
      </c>
      <c r="AE808" s="6"/>
      <c r="AF808" s="23"/>
      <c r="AG808" s="11">
        <v>47774</v>
      </c>
      <c r="AH808" s="5" t="s">
        <v>3</v>
      </c>
      <c r="AI808" s="5" t="s">
        <v>1489</v>
      </c>
      <c r="AJ808" s="5" t="s">
        <v>3</v>
      </c>
      <c r="AK808" s="16" t="s">
        <v>3</v>
      </c>
      <c r="AL808" s="65" t="s">
        <v>3842</v>
      </c>
      <c r="AM808" s="31" t="s">
        <v>898</v>
      </c>
    </row>
    <row r="809" spans="2:39" x14ac:dyDescent="0.25">
      <c r="B809" s="18" t="s">
        <v>1851</v>
      </c>
      <c r="C809" s="44" t="s">
        <v>3443</v>
      </c>
      <c r="D809" s="20" t="s">
        <v>1066</v>
      </c>
      <c r="E809" s="67" t="s">
        <v>3</v>
      </c>
      <c r="F809" s="51" t="s">
        <v>3</v>
      </c>
      <c r="G809" s="37" t="s">
        <v>1256</v>
      </c>
      <c r="H809" s="68" t="s">
        <v>2715</v>
      </c>
      <c r="I809" s="62" t="s">
        <v>3310</v>
      </c>
      <c r="J809" s="61" t="s">
        <v>250</v>
      </c>
      <c r="K809" s="4">
        <v>4998973</v>
      </c>
      <c r="L809" s="39">
        <v>105.274</v>
      </c>
      <c r="M809" s="4">
        <v>5263714</v>
      </c>
      <c r="N809" s="4">
        <v>5000000</v>
      </c>
      <c r="O809" s="4">
        <v>4999290</v>
      </c>
      <c r="P809" s="4">
        <v>0</v>
      </c>
      <c r="Q809" s="4">
        <v>188</v>
      </c>
      <c r="R809" s="4">
        <v>0</v>
      </c>
      <c r="S809" s="4">
        <v>0</v>
      </c>
      <c r="T809" s="23">
        <v>3.34</v>
      </c>
      <c r="U809" s="23">
        <v>3.367</v>
      </c>
      <c r="V809" s="5" t="s">
        <v>415</v>
      </c>
      <c r="W809" s="4">
        <v>7422</v>
      </c>
      <c r="X809" s="4">
        <v>167000</v>
      </c>
      <c r="Y809" s="11">
        <v>43495</v>
      </c>
      <c r="Z809" s="11">
        <v>46218</v>
      </c>
      <c r="AA809" s="2"/>
      <c r="AB809" s="63" t="s">
        <v>3840</v>
      </c>
      <c r="AC809" s="5" t="s">
        <v>9</v>
      </c>
      <c r="AD809" s="76" t="s">
        <v>4350</v>
      </c>
      <c r="AE809" s="10">
        <v>44941</v>
      </c>
      <c r="AF809" s="23">
        <v>100</v>
      </c>
      <c r="AG809" s="11">
        <v>45306</v>
      </c>
      <c r="AH809" s="5" t="s">
        <v>3</v>
      </c>
      <c r="AI809" s="5" t="s">
        <v>1066</v>
      </c>
      <c r="AJ809" s="5" t="s">
        <v>3</v>
      </c>
      <c r="AK809" s="16" t="s">
        <v>3</v>
      </c>
      <c r="AL809" s="65" t="s">
        <v>929</v>
      </c>
      <c r="AM809" s="31" t="s">
        <v>2217</v>
      </c>
    </row>
    <row r="810" spans="2:39" x14ac:dyDescent="0.25">
      <c r="B810" s="18" t="s">
        <v>3692</v>
      </c>
      <c r="C810" s="44" t="s">
        <v>748</v>
      </c>
      <c r="D810" s="20" t="s">
        <v>3224</v>
      </c>
      <c r="E810" s="67" t="s">
        <v>3</v>
      </c>
      <c r="F810" s="51" t="s">
        <v>3</v>
      </c>
      <c r="G810" s="37" t="s">
        <v>1256</v>
      </c>
      <c r="H810" s="68" t="s">
        <v>2715</v>
      </c>
      <c r="I810" s="62" t="s">
        <v>3310</v>
      </c>
      <c r="J810" s="61" t="s">
        <v>250</v>
      </c>
      <c r="K810" s="4">
        <v>2998946</v>
      </c>
      <c r="L810" s="39">
        <v>103.313</v>
      </c>
      <c r="M810" s="4">
        <v>3099378</v>
      </c>
      <c r="N810" s="4">
        <v>3000000</v>
      </c>
      <c r="O810" s="4">
        <v>2999412</v>
      </c>
      <c r="P810" s="4">
        <v>0</v>
      </c>
      <c r="Q810" s="4">
        <v>186</v>
      </c>
      <c r="R810" s="4">
        <v>0</v>
      </c>
      <c r="S810" s="4">
        <v>0</v>
      </c>
      <c r="T810" s="23">
        <v>3.47</v>
      </c>
      <c r="U810" s="23">
        <v>3.5019999999999998</v>
      </c>
      <c r="V810" s="5" t="s">
        <v>415</v>
      </c>
      <c r="W810" s="4">
        <v>4627</v>
      </c>
      <c r="X810" s="4">
        <v>104100</v>
      </c>
      <c r="Y810" s="11">
        <v>43236</v>
      </c>
      <c r="Z810" s="11">
        <v>45945</v>
      </c>
      <c r="AA810" s="2"/>
      <c r="AB810" s="63" t="s">
        <v>3840</v>
      </c>
      <c r="AC810" s="5" t="s">
        <v>9</v>
      </c>
      <c r="AD810" s="76" t="s">
        <v>4350</v>
      </c>
      <c r="AE810" s="11">
        <v>44666</v>
      </c>
      <c r="AF810" s="23">
        <v>100</v>
      </c>
      <c r="AG810" s="11">
        <v>45061</v>
      </c>
      <c r="AH810" s="5" t="s">
        <v>3</v>
      </c>
      <c r="AI810" s="5" t="s">
        <v>3224</v>
      </c>
      <c r="AJ810" s="5" t="s">
        <v>3</v>
      </c>
      <c r="AK810" s="16" t="s">
        <v>3</v>
      </c>
      <c r="AL810" s="65" t="s">
        <v>929</v>
      </c>
      <c r="AM810" s="31" t="s">
        <v>2217</v>
      </c>
    </row>
    <row r="811" spans="2:39" x14ac:dyDescent="0.25">
      <c r="B811" s="18" t="s">
        <v>426</v>
      </c>
      <c r="C811" s="44" t="s">
        <v>3444</v>
      </c>
      <c r="D811" s="20" t="s">
        <v>3693</v>
      </c>
      <c r="E811" s="67" t="s">
        <v>3</v>
      </c>
      <c r="F811" s="51" t="s">
        <v>3</v>
      </c>
      <c r="G811" s="37" t="s">
        <v>1987</v>
      </c>
      <c r="H811" s="68" t="s">
        <v>2715</v>
      </c>
      <c r="I811" s="62" t="s">
        <v>1358</v>
      </c>
      <c r="J811" s="61" t="s">
        <v>2244</v>
      </c>
      <c r="K811" s="4">
        <v>2723248</v>
      </c>
      <c r="L811" s="39">
        <v>101.3</v>
      </c>
      <c r="M811" s="4">
        <v>2758650</v>
      </c>
      <c r="N811" s="4">
        <v>2723248</v>
      </c>
      <c r="O811" s="4">
        <v>2723248</v>
      </c>
      <c r="P811" s="4">
        <v>0</v>
      </c>
      <c r="Q811" s="4">
        <v>0</v>
      </c>
      <c r="R811" s="4">
        <v>0</v>
      </c>
      <c r="S811" s="4">
        <v>0</v>
      </c>
      <c r="T811" s="23">
        <v>4.7</v>
      </c>
      <c r="U811" s="23">
        <v>4.7279999999999998</v>
      </c>
      <c r="V811" s="5" t="s">
        <v>3432</v>
      </c>
      <c r="W811" s="4">
        <v>28798</v>
      </c>
      <c r="X811" s="4">
        <v>127993</v>
      </c>
      <c r="Y811" s="11">
        <v>42943</v>
      </c>
      <c r="Z811" s="11">
        <v>45301</v>
      </c>
      <c r="AA811" s="2"/>
      <c r="AB811" s="63" t="s">
        <v>1684</v>
      </c>
      <c r="AC811" s="5" t="s">
        <v>3</v>
      </c>
      <c r="AD811" s="76" t="s">
        <v>143</v>
      </c>
      <c r="AE811" s="6"/>
      <c r="AF811" s="23"/>
      <c r="AG811" s="11">
        <v>45026</v>
      </c>
      <c r="AH811" s="5" t="s">
        <v>3</v>
      </c>
      <c r="AI811" s="5" t="s">
        <v>146</v>
      </c>
      <c r="AJ811" s="5" t="s">
        <v>749</v>
      </c>
      <c r="AK811" s="16" t="s">
        <v>3</v>
      </c>
      <c r="AL811" s="65" t="s">
        <v>2715</v>
      </c>
      <c r="AM811" s="31" t="s">
        <v>2323</v>
      </c>
    </row>
    <row r="812" spans="2:39" x14ac:dyDescent="0.25">
      <c r="B812" s="18" t="s">
        <v>1490</v>
      </c>
      <c r="C812" s="44" t="s">
        <v>4049</v>
      </c>
      <c r="D812" s="20" t="s">
        <v>1067</v>
      </c>
      <c r="E812" s="67" t="s">
        <v>3</v>
      </c>
      <c r="F812" s="51" t="s">
        <v>3</v>
      </c>
      <c r="G812" s="37" t="s">
        <v>1987</v>
      </c>
      <c r="H812" s="68" t="s">
        <v>2715</v>
      </c>
      <c r="I812" s="62" t="s">
        <v>3310</v>
      </c>
      <c r="J812" s="61" t="s">
        <v>250</v>
      </c>
      <c r="K812" s="4">
        <v>4541293</v>
      </c>
      <c r="L812" s="39">
        <v>100.071</v>
      </c>
      <c r="M812" s="4">
        <v>4603253</v>
      </c>
      <c r="N812" s="4">
        <v>4600000</v>
      </c>
      <c r="O812" s="4">
        <v>4581392</v>
      </c>
      <c r="P812" s="4">
        <v>0</v>
      </c>
      <c r="Q812" s="4">
        <v>22718</v>
      </c>
      <c r="R812" s="4">
        <v>0</v>
      </c>
      <c r="S812" s="4">
        <v>0</v>
      </c>
      <c r="T812" s="23">
        <v>2.2599999999999998</v>
      </c>
      <c r="U812" s="23">
        <v>2.7949999999999999</v>
      </c>
      <c r="V812" s="5" t="s">
        <v>415</v>
      </c>
      <c r="W812" s="4">
        <v>4620</v>
      </c>
      <c r="X812" s="4">
        <v>103960</v>
      </c>
      <c r="Y812" s="11">
        <v>43551</v>
      </c>
      <c r="Z812" s="11">
        <v>44757</v>
      </c>
      <c r="AA812" s="2"/>
      <c r="AB812" s="63" t="s">
        <v>3840</v>
      </c>
      <c r="AC812" s="5" t="s">
        <v>9</v>
      </c>
      <c r="AD812" s="76" t="s">
        <v>1987</v>
      </c>
      <c r="AE812" s="6"/>
      <c r="AF812" s="23"/>
      <c r="AG812" s="11">
        <v>44545</v>
      </c>
      <c r="AH812" s="5" t="s">
        <v>3</v>
      </c>
      <c r="AI812" s="5" t="s">
        <v>2335</v>
      </c>
      <c r="AJ812" s="5" t="s">
        <v>2335</v>
      </c>
      <c r="AK812" s="16" t="s">
        <v>3</v>
      </c>
      <c r="AL812" s="65" t="s">
        <v>2715</v>
      </c>
      <c r="AM812" s="31" t="s">
        <v>2217</v>
      </c>
    </row>
    <row r="813" spans="2:39" x14ac:dyDescent="0.25">
      <c r="B813" s="18" t="s">
        <v>2586</v>
      </c>
      <c r="C813" s="44" t="s">
        <v>750</v>
      </c>
      <c r="D813" s="20" t="s">
        <v>2335</v>
      </c>
      <c r="E813" s="67" t="s">
        <v>3</v>
      </c>
      <c r="F813" s="51" t="s">
        <v>3</v>
      </c>
      <c r="G813" s="37" t="s">
        <v>1256</v>
      </c>
      <c r="H813" s="68" t="s">
        <v>2715</v>
      </c>
      <c r="I813" s="62" t="s">
        <v>10</v>
      </c>
      <c r="J813" s="61" t="s">
        <v>250</v>
      </c>
      <c r="K813" s="4">
        <v>3999674</v>
      </c>
      <c r="L813" s="39">
        <v>104.976</v>
      </c>
      <c r="M813" s="4">
        <v>4199036</v>
      </c>
      <c r="N813" s="4">
        <v>4000000</v>
      </c>
      <c r="O813" s="4">
        <v>3999760</v>
      </c>
      <c r="P813" s="4">
        <v>0</v>
      </c>
      <c r="Q813" s="4">
        <v>87</v>
      </c>
      <c r="R813" s="4">
        <v>0</v>
      </c>
      <c r="S813" s="4">
        <v>0</v>
      </c>
      <c r="T813" s="23">
        <v>3.44</v>
      </c>
      <c r="U813" s="23">
        <v>3.4660000000000002</v>
      </c>
      <c r="V813" s="5" t="s">
        <v>415</v>
      </c>
      <c r="W813" s="4">
        <v>6116</v>
      </c>
      <c r="X813" s="4">
        <v>137600</v>
      </c>
      <c r="Y813" s="11">
        <v>43299</v>
      </c>
      <c r="Z813" s="11">
        <v>45366</v>
      </c>
      <c r="AA813" s="2"/>
      <c r="AB813" s="63" t="s">
        <v>3840</v>
      </c>
      <c r="AC813" s="5" t="s">
        <v>4198</v>
      </c>
      <c r="AD813" s="76" t="s">
        <v>1987</v>
      </c>
      <c r="AE813" s="10">
        <v>44757</v>
      </c>
      <c r="AF813" s="23">
        <v>100</v>
      </c>
      <c r="AG813" s="11">
        <v>45000</v>
      </c>
      <c r="AH813" s="5" t="s">
        <v>3</v>
      </c>
      <c r="AI813" s="5" t="s">
        <v>2335</v>
      </c>
      <c r="AJ813" s="5" t="s">
        <v>3</v>
      </c>
      <c r="AK813" s="16" t="s">
        <v>3</v>
      </c>
      <c r="AL813" s="65" t="s">
        <v>929</v>
      </c>
      <c r="AM813" s="31" t="s">
        <v>1992</v>
      </c>
    </row>
    <row r="814" spans="2:39" x14ac:dyDescent="0.25">
      <c r="B814" s="18" t="s">
        <v>3694</v>
      </c>
      <c r="C814" s="44" t="s">
        <v>2934</v>
      </c>
      <c r="D814" s="20" t="s">
        <v>1259</v>
      </c>
      <c r="E814" s="67" t="s">
        <v>3</v>
      </c>
      <c r="F814" s="51" t="s">
        <v>3</v>
      </c>
      <c r="G814" s="37" t="s">
        <v>1256</v>
      </c>
      <c r="H814" s="68" t="s">
        <v>2715</v>
      </c>
      <c r="I814" s="62" t="s">
        <v>1157</v>
      </c>
      <c r="J814" s="61" t="s">
        <v>250</v>
      </c>
      <c r="K814" s="4">
        <v>5999494</v>
      </c>
      <c r="L814" s="39">
        <v>103.941</v>
      </c>
      <c r="M814" s="4">
        <v>6236466</v>
      </c>
      <c r="N814" s="4">
        <v>6000000</v>
      </c>
      <c r="O814" s="4">
        <v>5999503</v>
      </c>
      <c r="P814" s="4">
        <v>0</v>
      </c>
      <c r="Q814" s="4">
        <v>10</v>
      </c>
      <c r="R814" s="4">
        <v>0</v>
      </c>
      <c r="S814" s="4">
        <v>0</v>
      </c>
      <c r="T814" s="23">
        <v>3.57</v>
      </c>
      <c r="U814" s="23">
        <v>3.597</v>
      </c>
      <c r="V814" s="5" t="s">
        <v>415</v>
      </c>
      <c r="W814" s="4">
        <v>9520</v>
      </c>
      <c r="X814" s="4">
        <v>214200</v>
      </c>
      <c r="Y814" s="11">
        <v>43208</v>
      </c>
      <c r="Z814" s="11">
        <v>45275</v>
      </c>
      <c r="AA814" s="2"/>
      <c r="AB814" s="63" t="s">
        <v>3840</v>
      </c>
      <c r="AC814" s="5" t="s">
        <v>4198</v>
      </c>
      <c r="AD814" s="76" t="s">
        <v>1987</v>
      </c>
      <c r="AE814" s="10">
        <v>44666</v>
      </c>
      <c r="AF814" s="23">
        <v>100</v>
      </c>
      <c r="AG814" s="11">
        <v>44972</v>
      </c>
      <c r="AH814" s="5" t="s">
        <v>3</v>
      </c>
      <c r="AI814" s="5" t="s">
        <v>2335</v>
      </c>
      <c r="AJ814" s="5" t="s">
        <v>4050</v>
      </c>
      <c r="AK814" s="16" t="s">
        <v>3</v>
      </c>
      <c r="AL814" s="65" t="s">
        <v>929</v>
      </c>
      <c r="AM814" s="31" t="s">
        <v>1631</v>
      </c>
    </row>
    <row r="815" spans="2:39" x14ac:dyDescent="0.25">
      <c r="B815" s="18" t="s">
        <v>427</v>
      </c>
      <c r="C815" s="44" t="s">
        <v>3695</v>
      </c>
      <c r="D815" s="20" t="s">
        <v>2335</v>
      </c>
      <c r="E815" s="67" t="s">
        <v>3</v>
      </c>
      <c r="F815" s="51" t="s">
        <v>3</v>
      </c>
      <c r="G815" s="37" t="s">
        <v>3445</v>
      </c>
      <c r="H815" s="68" t="s">
        <v>2715</v>
      </c>
      <c r="I815" s="62" t="s">
        <v>252</v>
      </c>
      <c r="J815" s="61" t="s">
        <v>250</v>
      </c>
      <c r="K815" s="4">
        <v>4299190</v>
      </c>
      <c r="L815" s="39">
        <v>101.934</v>
      </c>
      <c r="M815" s="4">
        <v>4383166</v>
      </c>
      <c r="N815" s="4">
        <v>4300000</v>
      </c>
      <c r="O815" s="4">
        <v>4299265</v>
      </c>
      <c r="P815" s="4">
        <v>0</v>
      </c>
      <c r="Q815" s="4">
        <v>75</v>
      </c>
      <c r="R815" s="4">
        <v>0</v>
      </c>
      <c r="S815" s="4">
        <v>0</v>
      </c>
      <c r="T815" s="23">
        <v>1.61</v>
      </c>
      <c r="U815" s="23">
        <v>1.62</v>
      </c>
      <c r="V815" s="5" t="s">
        <v>415</v>
      </c>
      <c r="W815" s="4">
        <v>3077</v>
      </c>
      <c r="X815" s="4">
        <v>28866</v>
      </c>
      <c r="Y815" s="11">
        <v>44026</v>
      </c>
      <c r="Z815" s="11">
        <v>46127</v>
      </c>
      <c r="AA815" s="2"/>
      <c r="AB815" s="63" t="s">
        <v>3840</v>
      </c>
      <c r="AC815" s="5" t="s">
        <v>4198</v>
      </c>
      <c r="AD815" s="76" t="s">
        <v>1987</v>
      </c>
      <c r="AE815" s="11">
        <v>45458</v>
      </c>
      <c r="AF815" s="23">
        <v>100</v>
      </c>
      <c r="AG815" s="11">
        <v>45762</v>
      </c>
      <c r="AH815" s="5" t="s">
        <v>3</v>
      </c>
      <c r="AI815" s="5" t="s">
        <v>2335</v>
      </c>
      <c r="AJ815" s="5" t="s">
        <v>3</v>
      </c>
      <c r="AK815" s="16" t="s">
        <v>3</v>
      </c>
      <c r="AL815" s="65" t="s">
        <v>929</v>
      </c>
      <c r="AM815" s="31" t="s">
        <v>898</v>
      </c>
    </row>
    <row r="816" spans="2:39" x14ac:dyDescent="0.25">
      <c r="B816" s="18" t="s">
        <v>1852</v>
      </c>
      <c r="C816" s="44" t="s">
        <v>428</v>
      </c>
      <c r="D816" s="20" t="s">
        <v>2335</v>
      </c>
      <c r="E816" s="67" t="s">
        <v>3</v>
      </c>
      <c r="F816" s="51" t="s">
        <v>3</v>
      </c>
      <c r="G816" s="37" t="s">
        <v>1256</v>
      </c>
      <c r="H816" s="68" t="s">
        <v>2715</v>
      </c>
      <c r="I816" s="62" t="s">
        <v>1157</v>
      </c>
      <c r="J816" s="61" t="s">
        <v>250</v>
      </c>
      <c r="K816" s="4">
        <v>6748027</v>
      </c>
      <c r="L816" s="39">
        <v>100</v>
      </c>
      <c r="M816" s="4">
        <v>6749991</v>
      </c>
      <c r="N816" s="4">
        <v>6750000</v>
      </c>
      <c r="O816" s="4">
        <v>6748114</v>
      </c>
      <c r="P816" s="4">
        <v>0</v>
      </c>
      <c r="Q816" s="4">
        <v>87</v>
      </c>
      <c r="R816" s="4">
        <v>0</v>
      </c>
      <c r="S816" s="4">
        <v>0</v>
      </c>
      <c r="T816" s="23">
        <v>0.85</v>
      </c>
      <c r="U816" s="23">
        <v>0.85799999999999998</v>
      </c>
      <c r="V816" s="5" t="s">
        <v>415</v>
      </c>
      <c r="W816" s="4">
        <v>2550</v>
      </c>
      <c r="X816" s="4">
        <v>8606</v>
      </c>
      <c r="Y816" s="11">
        <v>44118</v>
      </c>
      <c r="Z816" s="11">
        <v>46188</v>
      </c>
      <c r="AA816" s="2"/>
      <c r="AB816" s="63" t="s">
        <v>3840</v>
      </c>
      <c r="AC816" s="5" t="s">
        <v>4198</v>
      </c>
      <c r="AD816" s="76" t="s">
        <v>1987</v>
      </c>
      <c r="AE816" s="11">
        <v>45580</v>
      </c>
      <c r="AF816" s="23">
        <v>100</v>
      </c>
      <c r="AG816" s="11">
        <v>45762</v>
      </c>
      <c r="AH816" s="5" t="s">
        <v>3</v>
      </c>
      <c r="AI816" s="5" t="s">
        <v>2335</v>
      </c>
      <c r="AJ816" s="5" t="s">
        <v>3</v>
      </c>
      <c r="AK816" s="16" t="s">
        <v>3</v>
      </c>
      <c r="AL816" s="65" t="s">
        <v>2715</v>
      </c>
      <c r="AM816" s="31" t="s">
        <v>1631</v>
      </c>
    </row>
    <row r="817" spans="2:39" x14ac:dyDescent="0.25">
      <c r="B817" s="18" t="s">
        <v>2935</v>
      </c>
      <c r="C817" s="44" t="s">
        <v>1853</v>
      </c>
      <c r="D817" s="20" t="s">
        <v>2335</v>
      </c>
      <c r="E817" s="67" t="s">
        <v>3</v>
      </c>
      <c r="F817" s="51" t="s">
        <v>3</v>
      </c>
      <c r="G817" s="37" t="s">
        <v>1256</v>
      </c>
      <c r="H817" s="68" t="s">
        <v>2715</v>
      </c>
      <c r="I817" s="62" t="s">
        <v>252</v>
      </c>
      <c r="J817" s="61" t="s">
        <v>250</v>
      </c>
      <c r="K817" s="4">
        <v>6998522</v>
      </c>
      <c r="L817" s="39">
        <v>100.45699999999999</v>
      </c>
      <c r="M817" s="4">
        <v>7031968</v>
      </c>
      <c r="N817" s="4">
        <v>7000000</v>
      </c>
      <c r="O817" s="4">
        <v>6998580</v>
      </c>
      <c r="P817" s="4">
        <v>0</v>
      </c>
      <c r="Q817" s="4">
        <v>58</v>
      </c>
      <c r="R817" s="4">
        <v>0</v>
      </c>
      <c r="S817" s="4">
        <v>0</v>
      </c>
      <c r="T817" s="23">
        <v>1.3</v>
      </c>
      <c r="U817" s="23">
        <v>1.3080000000000001</v>
      </c>
      <c r="V817" s="5" t="s">
        <v>415</v>
      </c>
      <c r="W817" s="4">
        <v>4044</v>
      </c>
      <c r="X817" s="4">
        <v>13650</v>
      </c>
      <c r="Y817" s="11">
        <v>44118</v>
      </c>
      <c r="Z817" s="11">
        <v>46251</v>
      </c>
      <c r="AA817" s="2"/>
      <c r="AB817" s="63" t="s">
        <v>3840</v>
      </c>
      <c r="AC817" s="5" t="s">
        <v>4198</v>
      </c>
      <c r="AD817" s="76" t="s">
        <v>1987</v>
      </c>
      <c r="AE817" s="11">
        <v>45580</v>
      </c>
      <c r="AF817" s="23">
        <v>100</v>
      </c>
      <c r="AG817" s="11">
        <v>45915</v>
      </c>
      <c r="AH817" s="5" t="s">
        <v>3</v>
      </c>
      <c r="AI817" s="5" t="s">
        <v>2335</v>
      </c>
      <c r="AJ817" s="5" t="s">
        <v>3</v>
      </c>
      <c r="AK817" s="16" t="s">
        <v>3</v>
      </c>
      <c r="AL817" s="65" t="s">
        <v>2715</v>
      </c>
      <c r="AM817" s="31" t="s">
        <v>898</v>
      </c>
    </row>
    <row r="818" spans="2:39" x14ac:dyDescent="0.25">
      <c r="B818" s="18" t="s">
        <v>4051</v>
      </c>
      <c r="C818" s="44" t="s">
        <v>2587</v>
      </c>
      <c r="D818" s="20" t="s">
        <v>1854</v>
      </c>
      <c r="E818" s="67" t="s">
        <v>3</v>
      </c>
      <c r="F818" s="51" t="s">
        <v>3</v>
      </c>
      <c r="G818" s="37" t="s">
        <v>3842</v>
      </c>
      <c r="H818" s="68" t="s">
        <v>2715</v>
      </c>
      <c r="I818" s="62" t="s">
        <v>3310</v>
      </c>
      <c r="J818" s="61" t="s">
        <v>250</v>
      </c>
      <c r="K818" s="4">
        <v>7497629</v>
      </c>
      <c r="L818" s="39">
        <v>100.423</v>
      </c>
      <c r="M818" s="4">
        <v>7531724</v>
      </c>
      <c r="N818" s="4">
        <v>7500000</v>
      </c>
      <c r="O818" s="4">
        <v>7497653</v>
      </c>
      <c r="P818" s="4">
        <v>0</v>
      </c>
      <c r="Q818" s="4">
        <v>24</v>
      </c>
      <c r="R818" s="4">
        <v>0</v>
      </c>
      <c r="S818" s="4">
        <v>0</v>
      </c>
      <c r="T818" s="23">
        <v>0.61</v>
      </c>
      <c r="U818" s="23">
        <v>0.61599999999999999</v>
      </c>
      <c r="V818" s="5" t="s">
        <v>415</v>
      </c>
      <c r="W818" s="4">
        <v>2669</v>
      </c>
      <c r="X818" s="4">
        <v>0</v>
      </c>
      <c r="Y818" s="11">
        <v>44168</v>
      </c>
      <c r="Z818" s="11">
        <v>46303</v>
      </c>
      <c r="AA818" s="2"/>
      <c r="AB818" s="63" t="s">
        <v>3840</v>
      </c>
      <c r="AC818" s="5" t="s">
        <v>9</v>
      </c>
      <c r="AD818" s="76" t="s">
        <v>1987</v>
      </c>
      <c r="AE818" s="11">
        <v>45908</v>
      </c>
      <c r="AF818" s="23">
        <v>100</v>
      </c>
      <c r="AG818" s="11">
        <v>45696</v>
      </c>
      <c r="AH818" s="5" t="s">
        <v>3</v>
      </c>
      <c r="AI818" s="5" t="s">
        <v>751</v>
      </c>
      <c r="AJ818" s="5" t="s">
        <v>751</v>
      </c>
      <c r="AK818" s="16" t="s">
        <v>3</v>
      </c>
      <c r="AL818" s="65" t="s">
        <v>2715</v>
      </c>
      <c r="AM818" s="31" t="s">
        <v>2217</v>
      </c>
    </row>
    <row r="819" spans="2:39" x14ac:dyDescent="0.25">
      <c r="B819" s="18" t="s">
        <v>752</v>
      </c>
      <c r="C819" s="44" t="s">
        <v>2588</v>
      </c>
      <c r="D819" s="20" t="s">
        <v>1854</v>
      </c>
      <c r="E819" s="67" t="s">
        <v>3</v>
      </c>
      <c r="F819" s="51" t="s">
        <v>3</v>
      </c>
      <c r="G819" s="37" t="s">
        <v>3842</v>
      </c>
      <c r="H819" s="68" t="s">
        <v>2715</v>
      </c>
      <c r="I819" s="62" t="s">
        <v>1157</v>
      </c>
      <c r="J819" s="61" t="s">
        <v>250</v>
      </c>
      <c r="K819" s="4">
        <v>2199886</v>
      </c>
      <c r="L819" s="39">
        <v>100.379</v>
      </c>
      <c r="M819" s="4">
        <v>2208344</v>
      </c>
      <c r="N819" s="4">
        <v>2200000</v>
      </c>
      <c r="O819" s="4">
        <v>2199882</v>
      </c>
      <c r="P819" s="4">
        <v>0</v>
      </c>
      <c r="Q819" s="4">
        <v>-4</v>
      </c>
      <c r="R819" s="4">
        <v>0</v>
      </c>
      <c r="S819" s="4">
        <v>0</v>
      </c>
      <c r="T819" s="23">
        <v>0.92</v>
      </c>
      <c r="U819" s="23">
        <v>0.91900000000000004</v>
      </c>
      <c r="V819" s="5" t="s">
        <v>415</v>
      </c>
      <c r="W819" s="4">
        <v>1181</v>
      </c>
      <c r="X819" s="4">
        <v>0</v>
      </c>
      <c r="Y819" s="11">
        <v>44168</v>
      </c>
      <c r="Z819" s="11">
        <v>46335</v>
      </c>
      <c r="AA819" s="2"/>
      <c r="AB819" s="63" t="s">
        <v>3840</v>
      </c>
      <c r="AC819" s="5" t="s">
        <v>9</v>
      </c>
      <c r="AD819" s="76" t="s">
        <v>1987</v>
      </c>
      <c r="AE819" s="11">
        <v>45908</v>
      </c>
      <c r="AF819" s="23">
        <v>100</v>
      </c>
      <c r="AG819" s="11">
        <v>45816</v>
      </c>
      <c r="AH819" s="5" t="s">
        <v>3</v>
      </c>
      <c r="AI819" s="5" t="s">
        <v>751</v>
      </c>
      <c r="AJ819" s="5" t="s">
        <v>751</v>
      </c>
      <c r="AK819" s="16" t="s">
        <v>3</v>
      </c>
      <c r="AL819" s="65" t="s">
        <v>2715</v>
      </c>
      <c r="AM819" s="31" t="s">
        <v>1631</v>
      </c>
    </row>
    <row r="820" spans="2:39" x14ac:dyDescent="0.25">
      <c r="B820" s="18" t="s">
        <v>2589</v>
      </c>
      <c r="C820" s="44" t="s">
        <v>429</v>
      </c>
      <c r="D820" s="20" t="s">
        <v>1854</v>
      </c>
      <c r="E820" s="67" t="s">
        <v>3</v>
      </c>
      <c r="F820" s="51" t="s">
        <v>3</v>
      </c>
      <c r="G820" s="37" t="s">
        <v>3842</v>
      </c>
      <c r="H820" s="68" t="s">
        <v>2715</v>
      </c>
      <c r="I820" s="62" t="s">
        <v>252</v>
      </c>
      <c r="J820" s="61" t="s">
        <v>250</v>
      </c>
      <c r="K820" s="4">
        <v>1499706</v>
      </c>
      <c r="L820" s="39">
        <v>100.33499999999999</v>
      </c>
      <c r="M820" s="4">
        <v>1505032</v>
      </c>
      <c r="N820" s="4">
        <v>1500000</v>
      </c>
      <c r="O820" s="4">
        <v>1499704</v>
      </c>
      <c r="P820" s="4">
        <v>0</v>
      </c>
      <c r="Q820" s="4">
        <v>-2</v>
      </c>
      <c r="R820" s="4">
        <v>0</v>
      </c>
      <c r="S820" s="4">
        <v>0</v>
      </c>
      <c r="T820" s="23">
        <v>1.32</v>
      </c>
      <c r="U820" s="23">
        <v>1.3220000000000001</v>
      </c>
      <c r="V820" s="5" t="s">
        <v>415</v>
      </c>
      <c r="W820" s="4">
        <v>1155</v>
      </c>
      <c r="X820" s="4">
        <v>0</v>
      </c>
      <c r="Y820" s="11">
        <v>44168</v>
      </c>
      <c r="Z820" s="11">
        <v>46335</v>
      </c>
      <c r="AA820" s="2"/>
      <c r="AB820" s="63" t="s">
        <v>3840</v>
      </c>
      <c r="AC820" s="5" t="s">
        <v>9</v>
      </c>
      <c r="AD820" s="76" t="s">
        <v>1987</v>
      </c>
      <c r="AE820" s="11">
        <v>45908</v>
      </c>
      <c r="AF820" s="23">
        <v>100</v>
      </c>
      <c r="AG820" s="11">
        <v>45999</v>
      </c>
      <c r="AH820" s="5" t="s">
        <v>3</v>
      </c>
      <c r="AI820" s="5" t="s">
        <v>751</v>
      </c>
      <c r="AJ820" s="5" t="s">
        <v>751</v>
      </c>
      <c r="AK820" s="16" t="s">
        <v>3</v>
      </c>
      <c r="AL820" s="65" t="s">
        <v>2715</v>
      </c>
      <c r="AM820" s="31" t="s">
        <v>898</v>
      </c>
    </row>
    <row r="821" spans="2:39" x14ac:dyDescent="0.25">
      <c r="B821" s="18" t="s">
        <v>3696</v>
      </c>
      <c r="C821" s="44" t="s">
        <v>753</v>
      </c>
      <c r="D821" s="20" t="s">
        <v>1068</v>
      </c>
      <c r="E821" s="67" t="s">
        <v>3</v>
      </c>
      <c r="F821" s="51" t="s">
        <v>3</v>
      </c>
      <c r="G821" s="37" t="s">
        <v>1987</v>
      </c>
      <c r="H821" s="68" t="s">
        <v>2715</v>
      </c>
      <c r="I821" s="62" t="s">
        <v>1157</v>
      </c>
      <c r="J821" s="61" t="s">
        <v>250</v>
      </c>
      <c r="K821" s="4">
        <v>3999611</v>
      </c>
      <c r="L821" s="39">
        <v>100.899</v>
      </c>
      <c r="M821" s="4">
        <v>4035976</v>
      </c>
      <c r="N821" s="4">
        <v>4000000</v>
      </c>
      <c r="O821" s="4">
        <v>3999922</v>
      </c>
      <c r="P821" s="4">
        <v>0</v>
      </c>
      <c r="Q821" s="4">
        <v>258</v>
      </c>
      <c r="R821" s="4">
        <v>0</v>
      </c>
      <c r="S821" s="4">
        <v>0</v>
      </c>
      <c r="T821" s="23">
        <v>2.59</v>
      </c>
      <c r="U821" s="23">
        <v>2.6070000000000002</v>
      </c>
      <c r="V821" s="5" t="s">
        <v>415</v>
      </c>
      <c r="W821" s="4">
        <v>4604</v>
      </c>
      <c r="X821" s="4">
        <v>103600</v>
      </c>
      <c r="Y821" s="11">
        <v>43032</v>
      </c>
      <c r="Z821" s="11">
        <v>47437</v>
      </c>
      <c r="AA821" s="2"/>
      <c r="AB821" s="63" t="s">
        <v>3840</v>
      </c>
      <c r="AC821" s="5" t="s">
        <v>9</v>
      </c>
      <c r="AD821" s="76" t="s">
        <v>1987</v>
      </c>
      <c r="AE821" s="6"/>
      <c r="AF821" s="23"/>
      <c r="AG821" s="11">
        <v>44484</v>
      </c>
      <c r="AH821" s="5" t="s">
        <v>3</v>
      </c>
      <c r="AI821" s="5" t="s">
        <v>1855</v>
      </c>
      <c r="AJ821" s="5" t="s">
        <v>928</v>
      </c>
      <c r="AK821" s="16" t="s">
        <v>3</v>
      </c>
      <c r="AL821" s="65" t="s">
        <v>929</v>
      </c>
      <c r="AM821" s="31" t="s">
        <v>1631</v>
      </c>
    </row>
    <row r="822" spans="2:39" x14ac:dyDescent="0.25">
      <c r="B822" s="18" t="s">
        <v>430</v>
      </c>
      <c r="C822" s="44" t="s">
        <v>754</v>
      </c>
      <c r="D822" s="20" t="s">
        <v>1068</v>
      </c>
      <c r="E822" s="67" t="s">
        <v>3</v>
      </c>
      <c r="F822" s="51" t="s">
        <v>3</v>
      </c>
      <c r="G822" s="37" t="s">
        <v>1987</v>
      </c>
      <c r="H822" s="68" t="s">
        <v>2715</v>
      </c>
      <c r="I822" s="62" t="s">
        <v>252</v>
      </c>
      <c r="J822" s="61" t="s">
        <v>250</v>
      </c>
      <c r="K822" s="4">
        <v>2499337</v>
      </c>
      <c r="L822" s="39">
        <v>101.071</v>
      </c>
      <c r="M822" s="4">
        <v>2526780</v>
      </c>
      <c r="N822" s="4">
        <v>2500000</v>
      </c>
      <c r="O822" s="4">
        <v>2499856</v>
      </c>
      <c r="P822" s="4">
        <v>0</v>
      </c>
      <c r="Q822" s="4">
        <v>288</v>
      </c>
      <c r="R822" s="4">
        <v>0</v>
      </c>
      <c r="S822" s="4">
        <v>0</v>
      </c>
      <c r="T822" s="23">
        <v>2.76</v>
      </c>
      <c r="U822" s="23">
        <v>2.7829999999999999</v>
      </c>
      <c r="V822" s="5" t="s">
        <v>415</v>
      </c>
      <c r="W822" s="4">
        <v>3067</v>
      </c>
      <c r="X822" s="4">
        <v>69000</v>
      </c>
      <c r="Y822" s="11">
        <v>43032</v>
      </c>
      <c r="Z822" s="11">
        <v>47437</v>
      </c>
      <c r="AA822" s="2"/>
      <c r="AB822" s="63" t="s">
        <v>3840</v>
      </c>
      <c r="AC822" s="5" t="s">
        <v>9</v>
      </c>
      <c r="AD822" s="76" t="s">
        <v>1987</v>
      </c>
      <c r="AE822" s="9"/>
      <c r="AF822" s="23"/>
      <c r="AG822" s="11">
        <v>44515</v>
      </c>
      <c r="AH822" s="5" t="s">
        <v>3</v>
      </c>
      <c r="AI822" s="5" t="s">
        <v>1855</v>
      </c>
      <c r="AJ822" s="5" t="s">
        <v>928</v>
      </c>
      <c r="AK822" s="16" t="s">
        <v>3</v>
      </c>
      <c r="AL822" s="65" t="s">
        <v>929</v>
      </c>
      <c r="AM822" s="31" t="s">
        <v>898</v>
      </c>
    </row>
    <row r="823" spans="2:39" x14ac:dyDescent="0.25">
      <c r="B823" s="18" t="s">
        <v>1491</v>
      </c>
      <c r="C823" s="44" t="s">
        <v>2936</v>
      </c>
      <c r="D823" s="20" t="s">
        <v>1068</v>
      </c>
      <c r="E823" s="67" t="s">
        <v>3</v>
      </c>
      <c r="F823" s="51" t="s">
        <v>3</v>
      </c>
      <c r="G823" s="37" t="s">
        <v>1256</v>
      </c>
      <c r="H823" s="68" t="s">
        <v>2715</v>
      </c>
      <c r="I823" s="62" t="s">
        <v>252</v>
      </c>
      <c r="J823" s="61" t="s">
        <v>250</v>
      </c>
      <c r="K823" s="4">
        <v>3998820</v>
      </c>
      <c r="L823" s="39">
        <v>102.077</v>
      </c>
      <c r="M823" s="4">
        <v>4083070</v>
      </c>
      <c r="N823" s="4">
        <v>4000000</v>
      </c>
      <c r="O823" s="4">
        <v>3999458</v>
      </c>
      <c r="P823" s="4">
        <v>0</v>
      </c>
      <c r="Q823" s="4">
        <v>344</v>
      </c>
      <c r="R823" s="4">
        <v>0</v>
      </c>
      <c r="S823" s="4">
        <v>0</v>
      </c>
      <c r="T823" s="23">
        <v>3.57</v>
      </c>
      <c r="U823" s="23">
        <v>3.6030000000000002</v>
      </c>
      <c r="V823" s="5" t="s">
        <v>415</v>
      </c>
      <c r="W823" s="4">
        <v>6347</v>
      </c>
      <c r="X823" s="4">
        <v>142800</v>
      </c>
      <c r="Y823" s="11">
        <v>43201</v>
      </c>
      <c r="Z823" s="11">
        <v>47588</v>
      </c>
      <c r="AA823" s="2"/>
      <c r="AB823" s="63" t="s">
        <v>3840</v>
      </c>
      <c r="AC823" s="5" t="s">
        <v>9</v>
      </c>
      <c r="AD823" s="76" t="s">
        <v>1987</v>
      </c>
      <c r="AE823" s="11">
        <v>44301</v>
      </c>
      <c r="AF823" s="23">
        <v>100</v>
      </c>
      <c r="AG823" s="11">
        <v>44696</v>
      </c>
      <c r="AH823" s="5" t="s">
        <v>3</v>
      </c>
      <c r="AI823" s="5" t="s">
        <v>1855</v>
      </c>
      <c r="AJ823" s="5" t="s">
        <v>928</v>
      </c>
      <c r="AK823" s="16" t="s">
        <v>3</v>
      </c>
      <c r="AL823" s="65" t="s">
        <v>929</v>
      </c>
      <c r="AM823" s="31" t="s">
        <v>898</v>
      </c>
    </row>
    <row r="824" spans="2:39" x14ac:dyDescent="0.25">
      <c r="B824" s="18" t="s">
        <v>2937</v>
      </c>
      <c r="C824" s="44" t="s">
        <v>4052</v>
      </c>
      <c r="D824" s="20" t="s">
        <v>1068</v>
      </c>
      <c r="E824" s="67" t="s">
        <v>3</v>
      </c>
      <c r="F824" s="51" t="s">
        <v>3</v>
      </c>
      <c r="G824" s="37" t="s">
        <v>1987</v>
      </c>
      <c r="H824" s="68" t="s">
        <v>2715</v>
      </c>
      <c r="I824" s="62" t="s">
        <v>1157</v>
      </c>
      <c r="J824" s="61" t="s">
        <v>250</v>
      </c>
      <c r="K824" s="4">
        <v>5499121</v>
      </c>
      <c r="L824" s="39">
        <v>103.845</v>
      </c>
      <c r="M824" s="4">
        <v>5711450</v>
      </c>
      <c r="N824" s="4">
        <v>5500000</v>
      </c>
      <c r="O824" s="4">
        <v>5499635</v>
      </c>
      <c r="P824" s="4">
        <v>0</v>
      </c>
      <c r="Q824" s="4">
        <v>309</v>
      </c>
      <c r="R824" s="4">
        <v>0</v>
      </c>
      <c r="S824" s="4">
        <v>0</v>
      </c>
      <c r="T824" s="23">
        <v>3.52</v>
      </c>
      <c r="U824" s="23">
        <v>3.55</v>
      </c>
      <c r="V824" s="5" t="s">
        <v>415</v>
      </c>
      <c r="W824" s="4">
        <v>8604</v>
      </c>
      <c r="X824" s="4">
        <v>193600</v>
      </c>
      <c r="Y824" s="11">
        <v>43322</v>
      </c>
      <c r="Z824" s="11">
        <v>47710</v>
      </c>
      <c r="AA824" s="2"/>
      <c r="AB824" s="63" t="s">
        <v>3840</v>
      </c>
      <c r="AC824" s="5" t="s">
        <v>9</v>
      </c>
      <c r="AD824" s="76" t="s">
        <v>1987</v>
      </c>
      <c r="AE824" s="9"/>
      <c r="AF824" s="23"/>
      <c r="AG824" s="11">
        <v>44788</v>
      </c>
      <c r="AH824" s="5" t="s">
        <v>3</v>
      </c>
      <c r="AI824" s="5" t="s">
        <v>1855</v>
      </c>
      <c r="AJ824" s="5" t="s">
        <v>928</v>
      </c>
      <c r="AK824" s="16" t="s">
        <v>3</v>
      </c>
      <c r="AL824" s="65" t="s">
        <v>929</v>
      </c>
      <c r="AM824" s="31" t="s">
        <v>1631</v>
      </c>
    </row>
    <row r="825" spans="2:39" x14ac:dyDescent="0.25">
      <c r="B825" s="18" t="s">
        <v>4053</v>
      </c>
      <c r="C825" s="44" t="s">
        <v>4054</v>
      </c>
      <c r="D825" s="20" t="s">
        <v>1068</v>
      </c>
      <c r="E825" s="67" t="s">
        <v>3</v>
      </c>
      <c r="F825" s="51" t="s">
        <v>3</v>
      </c>
      <c r="G825" s="37" t="s">
        <v>1987</v>
      </c>
      <c r="H825" s="68" t="s">
        <v>2715</v>
      </c>
      <c r="I825" s="62" t="s">
        <v>252</v>
      </c>
      <c r="J825" s="61" t="s">
        <v>250</v>
      </c>
      <c r="K825" s="4">
        <v>6999322</v>
      </c>
      <c r="L825" s="39">
        <v>103.253</v>
      </c>
      <c r="M825" s="4">
        <v>7227702</v>
      </c>
      <c r="N825" s="4">
        <v>7000000</v>
      </c>
      <c r="O825" s="4">
        <v>6999703</v>
      </c>
      <c r="P825" s="4">
        <v>0</v>
      </c>
      <c r="Q825" s="4">
        <v>161</v>
      </c>
      <c r="R825" s="4">
        <v>0</v>
      </c>
      <c r="S825" s="4">
        <v>0</v>
      </c>
      <c r="T825" s="23">
        <v>3.72</v>
      </c>
      <c r="U825" s="23">
        <v>3.7509999999999999</v>
      </c>
      <c r="V825" s="5" t="s">
        <v>415</v>
      </c>
      <c r="W825" s="4">
        <v>11573</v>
      </c>
      <c r="X825" s="4">
        <v>260400</v>
      </c>
      <c r="Y825" s="11">
        <v>43322</v>
      </c>
      <c r="Z825" s="11">
        <v>47710</v>
      </c>
      <c r="AA825" s="2"/>
      <c r="AB825" s="63" t="s">
        <v>3840</v>
      </c>
      <c r="AC825" s="5" t="s">
        <v>9</v>
      </c>
      <c r="AD825" s="76" t="s">
        <v>1987</v>
      </c>
      <c r="AE825" s="9"/>
      <c r="AF825" s="23"/>
      <c r="AG825" s="11">
        <v>44819</v>
      </c>
      <c r="AH825" s="5" t="s">
        <v>3</v>
      </c>
      <c r="AI825" s="5" t="s">
        <v>1855</v>
      </c>
      <c r="AJ825" s="5" t="s">
        <v>928</v>
      </c>
      <c r="AK825" s="16" t="s">
        <v>3</v>
      </c>
      <c r="AL825" s="65" t="s">
        <v>929</v>
      </c>
      <c r="AM825" s="31" t="s">
        <v>898</v>
      </c>
    </row>
    <row r="826" spans="2:39" x14ac:dyDescent="0.25">
      <c r="B826" s="18" t="s">
        <v>755</v>
      </c>
      <c r="C826" s="44" t="s">
        <v>756</v>
      </c>
      <c r="D826" s="20" t="s">
        <v>1068</v>
      </c>
      <c r="E826" s="67" t="s">
        <v>3</v>
      </c>
      <c r="F826" s="51" t="s">
        <v>3</v>
      </c>
      <c r="G826" s="37" t="s">
        <v>1256</v>
      </c>
      <c r="H826" s="68" t="s">
        <v>2715</v>
      </c>
      <c r="I826" s="62" t="s">
        <v>1157</v>
      </c>
      <c r="J826" s="61" t="s">
        <v>250</v>
      </c>
      <c r="K826" s="4">
        <v>3339831</v>
      </c>
      <c r="L826" s="39">
        <v>104.092</v>
      </c>
      <c r="M826" s="4">
        <v>3476668</v>
      </c>
      <c r="N826" s="4">
        <v>3340000</v>
      </c>
      <c r="O826" s="4">
        <v>3339912</v>
      </c>
      <c r="P826" s="4">
        <v>0</v>
      </c>
      <c r="Q826" s="4">
        <v>43</v>
      </c>
      <c r="R826" s="4">
        <v>0</v>
      </c>
      <c r="S826" s="4">
        <v>0</v>
      </c>
      <c r="T826" s="23">
        <v>3.62</v>
      </c>
      <c r="U826" s="23">
        <v>3.649</v>
      </c>
      <c r="V826" s="5" t="s">
        <v>415</v>
      </c>
      <c r="W826" s="4">
        <v>5374</v>
      </c>
      <c r="X826" s="4">
        <v>120908</v>
      </c>
      <c r="Y826" s="11">
        <v>43440</v>
      </c>
      <c r="Z826" s="11">
        <v>47863</v>
      </c>
      <c r="AA826" s="2"/>
      <c r="AB826" s="63" t="s">
        <v>3840</v>
      </c>
      <c r="AC826" s="5" t="s">
        <v>9</v>
      </c>
      <c r="AD826" s="76" t="s">
        <v>1987</v>
      </c>
      <c r="AE826" s="11">
        <v>44545</v>
      </c>
      <c r="AF826" s="23">
        <v>100</v>
      </c>
      <c r="AG826" s="11">
        <v>44910</v>
      </c>
      <c r="AH826" s="5" t="s">
        <v>3</v>
      </c>
      <c r="AI826" s="5" t="s">
        <v>1855</v>
      </c>
      <c r="AJ826" s="5" t="s">
        <v>928</v>
      </c>
      <c r="AK826" s="16" t="s">
        <v>3</v>
      </c>
      <c r="AL826" s="65" t="s">
        <v>929</v>
      </c>
      <c r="AM826" s="31" t="s">
        <v>1631</v>
      </c>
    </row>
    <row r="827" spans="2:39" x14ac:dyDescent="0.25">
      <c r="B827" s="18" t="s">
        <v>1856</v>
      </c>
      <c r="C827" s="44" t="s">
        <v>757</v>
      </c>
      <c r="D827" s="20" t="s">
        <v>1068</v>
      </c>
      <c r="E827" s="67" t="s">
        <v>3</v>
      </c>
      <c r="F827" s="51" t="s">
        <v>3</v>
      </c>
      <c r="G827" s="37" t="s">
        <v>1256</v>
      </c>
      <c r="H827" s="68" t="s">
        <v>2715</v>
      </c>
      <c r="I827" s="62" t="s">
        <v>252</v>
      </c>
      <c r="J827" s="61" t="s">
        <v>250</v>
      </c>
      <c r="K827" s="4">
        <v>3279201</v>
      </c>
      <c r="L827" s="39">
        <v>104.164</v>
      </c>
      <c r="M827" s="4">
        <v>3416580</v>
      </c>
      <c r="N827" s="4">
        <v>3280000</v>
      </c>
      <c r="O827" s="4">
        <v>3279418</v>
      </c>
      <c r="P827" s="4">
        <v>0</v>
      </c>
      <c r="Q827" s="4">
        <v>111</v>
      </c>
      <c r="R827" s="4">
        <v>0</v>
      </c>
      <c r="S827" s="4">
        <v>0</v>
      </c>
      <c r="T827" s="23">
        <v>3.81</v>
      </c>
      <c r="U827" s="23">
        <v>3.8439999999999999</v>
      </c>
      <c r="V827" s="5" t="s">
        <v>415</v>
      </c>
      <c r="W827" s="4">
        <v>5554</v>
      </c>
      <c r="X827" s="4">
        <v>124968</v>
      </c>
      <c r="Y827" s="11">
        <v>43440</v>
      </c>
      <c r="Z827" s="11">
        <v>47863</v>
      </c>
      <c r="AA827" s="2"/>
      <c r="AB827" s="63" t="s">
        <v>3840</v>
      </c>
      <c r="AC827" s="5" t="s">
        <v>9</v>
      </c>
      <c r="AD827" s="76" t="s">
        <v>1987</v>
      </c>
      <c r="AE827" s="11">
        <v>44545</v>
      </c>
      <c r="AF827" s="23">
        <v>100</v>
      </c>
      <c r="AG827" s="11">
        <v>44941</v>
      </c>
      <c r="AH827" s="5" t="s">
        <v>3</v>
      </c>
      <c r="AI827" s="5" t="s">
        <v>1855</v>
      </c>
      <c r="AJ827" s="5" t="s">
        <v>928</v>
      </c>
      <c r="AK827" s="16" t="s">
        <v>3</v>
      </c>
      <c r="AL827" s="65" t="s">
        <v>929</v>
      </c>
      <c r="AM827" s="31" t="s">
        <v>898</v>
      </c>
    </row>
    <row r="828" spans="2:39" x14ac:dyDescent="0.25">
      <c r="B828" s="18" t="s">
        <v>2938</v>
      </c>
      <c r="C828" s="44" t="s">
        <v>758</v>
      </c>
      <c r="D828" s="20" t="s">
        <v>1068</v>
      </c>
      <c r="E828" s="67" t="s">
        <v>3</v>
      </c>
      <c r="F828" s="51" t="s">
        <v>3</v>
      </c>
      <c r="G828" s="37" t="s">
        <v>1256</v>
      </c>
      <c r="H828" s="68" t="s">
        <v>3842</v>
      </c>
      <c r="I828" s="62" t="s">
        <v>10</v>
      </c>
      <c r="J828" s="61" t="s">
        <v>250</v>
      </c>
      <c r="K828" s="4">
        <v>3999882</v>
      </c>
      <c r="L828" s="39">
        <v>104.447</v>
      </c>
      <c r="M828" s="4">
        <v>4177892</v>
      </c>
      <c r="N828" s="4">
        <v>4000000</v>
      </c>
      <c r="O828" s="4">
        <v>3999711</v>
      </c>
      <c r="P828" s="4">
        <v>0</v>
      </c>
      <c r="Q828" s="4">
        <v>-81</v>
      </c>
      <c r="R828" s="4">
        <v>0</v>
      </c>
      <c r="S828" s="4">
        <v>0</v>
      </c>
      <c r="T828" s="23">
        <v>4.21</v>
      </c>
      <c r="U828" s="23">
        <v>4.2450000000000001</v>
      </c>
      <c r="V828" s="5" t="s">
        <v>415</v>
      </c>
      <c r="W828" s="4">
        <v>7484</v>
      </c>
      <c r="X828" s="4">
        <v>168400</v>
      </c>
      <c r="Y828" s="11">
        <v>43440</v>
      </c>
      <c r="Z828" s="11">
        <v>47863</v>
      </c>
      <c r="AA828" s="2"/>
      <c r="AB828" s="63" t="s">
        <v>3840</v>
      </c>
      <c r="AC828" s="5" t="s">
        <v>9</v>
      </c>
      <c r="AD828" s="76" t="s">
        <v>1987</v>
      </c>
      <c r="AE828" s="11">
        <v>44545</v>
      </c>
      <c r="AF828" s="23">
        <v>100</v>
      </c>
      <c r="AG828" s="11">
        <v>44972</v>
      </c>
      <c r="AH828" s="5" t="s">
        <v>3</v>
      </c>
      <c r="AI828" s="5" t="s">
        <v>1855</v>
      </c>
      <c r="AJ828" s="5" t="s">
        <v>928</v>
      </c>
      <c r="AK828" s="16" t="s">
        <v>3</v>
      </c>
      <c r="AL828" s="65" t="s">
        <v>929</v>
      </c>
      <c r="AM828" s="31" t="s">
        <v>1176</v>
      </c>
    </row>
    <row r="829" spans="2:39" x14ac:dyDescent="0.25">
      <c r="B829" s="18" t="s">
        <v>4055</v>
      </c>
      <c r="C829" s="44" t="s">
        <v>1260</v>
      </c>
      <c r="D829" s="20" t="s">
        <v>1068</v>
      </c>
      <c r="E829" s="67" t="s">
        <v>3</v>
      </c>
      <c r="F829" s="51" t="s">
        <v>3</v>
      </c>
      <c r="G829" s="37" t="s">
        <v>1256</v>
      </c>
      <c r="H829" s="68" t="s">
        <v>2715</v>
      </c>
      <c r="I829" s="62" t="s">
        <v>1157</v>
      </c>
      <c r="J829" s="61" t="s">
        <v>250</v>
      </c>
      <c r="K829" s="4">
        <v>2999701</v>
      </c>
      <c r="L829" s="39">
        <v>103.244</v>
      </c>
      <c r="M829" s="4">
        <v>3097321</v>
      </c>
      <c r="N829" s="4">
        <v>3000000</v>
      </c>
      <c r="O829" s="4">
        <v>2999837</v>
      </c>
      <c r="P829" s="4">
        <v>0</v>
      </c>
      <c r="Q829" s="4">
        <v>81</v>
      </c>
      <c r="R829" s="4">
        <v>0</v>
      </c>
      <c r="S829" s="4">
        <v>0</v>
      </c>
      <c r="T829" s="23">
        <v>3.1</v>
      </c>
      <c r="U829" s="23">
        <v>3.1230000000000002</v>
      </c>
      <c r="V829" s="5" t="s">
        <v>415</v>
      </c>
      <c r="W829" s="4">
        <v>4133</v>
      </c>
      <c r="X829" s="4">
        <v>93000</v>
      </c>
      <c r="Y829" s="11">
        <v>43544</v>
      </c>
      <c r="Z829" s="11">
        <v>47953</v>
      </c>
      <c r="AA829" s="2"/>
      <c r="AB829" s="63" t="s">
        <v>3840</v>
      </c>
      <c r="AC829" s="5" t="s">
        <v>9</v>
      </c>
      <c r="AD829" s="76" t="s">
        <v>1987</v>
      </c>
      <c r="AE829" s="11">
        <v>44727</v>
      </c>
      <c r="AF829" s="23">
        <v>100</v>
      </c>
      <c r="AG829" s="11">
        <v>44910</v>
      </c>
      <c r="AH829" s="5" t="s">
        <v>3</v>
      </c>
      <c r="AI829" s="5" t="s">
        <v>1855</v>
      </c>
      <c r="AJ829" s="5" t="s">
        <v>928</v>
      </c>
      <c r="AK829" s="16" t="s">
        <v>3</v>
      </c>
      <c r="AL829" s="65" t="s">
        <v>929</v>
      </c>
      <c r="AM829" s="31" t="s">
        <v>1631</v>
      </c>
    </row>
    <row r="830" spans="2:39" x14ac:dyDescent="0.25">
      <c r="B830" s="18" t="s">
        <v>1492</v>
      </c>
      <c r="C830" s="44" t="s">
        <v>3697</v>
      </c>
      <c r="D830" s="20" t="s">
        <v>1068</v>
      </c>
      <c r="E830" s="67" t="s">
        <v>3</v>
      </c>
      <c r="F830" s="51" t="s">
        <v>3</v>
      </c>
      <c r="G830" s="37" t="s">
        <v>1256</v>
      </c>
      <c r="H830" s="68" t="s">
        <v>2715</v>
      </c>
      <c r="I830" s="62" t="s">
        <v>252</v>
      </c>
      <c r="J830" s="61" t="s">
        <v>250</v>
      </c>
      <c r="K830" s="4">
        <v>3799115</v>
      </c>
      <c r="L830" s="39">
        <v>103.172</v>
      </c>
      <c r="M830" s="4">
        <v>3920530</v>
      </c>
      <c r="N830" s="4">
        <v>3800000</v>
      </c>
      <c r="O830" s="4">
        <v>3799352</v>
      </c>
      <c r="P830" s="4">
        <v>0</v>
      </c>
      <c r="Q830" s="4">
        <v>141</v>
      </c>
      <c r="R830" s="4">
        <v>0</v>
      </c>
      <c r="S830" s="4">
        <v>0</v>
      </c>
      <c r="T830" s="23">
        <v>3.34</v>
      </c>
      <c r="U830" s="23">
        <v>3.3679999999999999</v>
      </c>
      <c r="V830" s="5" t="s">
        <v>415</v>
      </c>
      <c r="W830" s="4">
        <v>5641</v>
      </c>
      <c r="X830" s="4">
        <v>126920</v>
      </c>
      <c r="Y830" s="11">
        <v>43544</v>
      </c>
      <c r="Z830" s="11">
        <v>47953</v>
      </c>
      <c r="AA830" s="2"/>
      <c r="AB830" s="63" t="s">
        <v>3840</v>
      </c>
      <c r="AC830" s="5" t="s">
        <v>9</v>
      </c>
      <c r="AD830" s="76" t="s">
        <v>1987</v>
      </c>
      <c r="AE830" s="11">
        <v>44727</v>
      </c>
      <c r="AF830" s="23">
        <v>100</v>
      </c>
      <c r="AG830" s="11">
        <v>44941</v>
      </c>
      <c r="AH830" s="5" t="s">
        <v>3</v>
      </c>
      <c r="AI830" s="5" t="s">
        <v>1855</v>
      </c>
      <c r="AJ830" s="5" t="s">
        <v>928</v>
      </c>
      <c r="AK830" s="16" t="s">
        <v>3</v>
      </c>
      <c r="AL830" s="65" t="s">
        <v>929</v>
      </c>
      <c r="AM830" s="31" t="s">
        <v>898</v>
      </c>
    </row>
    <row r="831" spans="2:39" x14ac:dyDescent="0.25">
      <c r="B831" s="18" t="s">
        <v>2590</v>
      </c>
      <c r="C831" s="44" t="s">
        <v>3698</v>
      </c>
      <c r="D831" s="20" t="s">
        <v>1068</v>
      </c>
      <c r="E831" s="67" t="s">
        <v>3</v>
      </c>
      <c r="F831" s="51" t="s">
        <v>3</v>
      </c>
      <c r="G831" s="37" t="s">
        <v>1256</v>
      </c>
      <c r="H831" s="68" t="s">
        <v>3842</v>
      </c>
      <c r="I831" s="62" t="s">
        <v>10</v>
      </c>
      <c r="J831" s="61" t="s">
        <v>250</v>
      </c>
      <c r="K831" s="4">
        <v>2999040</v>
      </c>
      <c r="L831" s="39">
        <v>102.69499999999999</v>
      </c>
      <c r="M831" s="4">
        <v>3080858</v>
      </c>
      <c r="N831" s="4">
        <v>3000000</v>
      </c>
      <c r="O831" s="4">
        <v>2999319</v>
      </c>
      <c r="P831" s="4">
        <v>0</v>
      </c>
      <c r="Q831" s="4">
        <v>165</v>
      </c>
      <c r="R831" s="4">
        <v>0</v>
      </c>
      <c r="S831" s="4">
        <v>0</v>
      </c>
      <c r="T831" s="23">
        <v>3.78</v>
      </c>
      <c r="U831" s="23">
        <v>3.8159999999999998</v>
      </c>
      <c r="V831" s="5" t="s">
        <v>415</v>
      </c>
      <c r="W831" s="4">
        <v>5040</v>
      </c>
      <c r="X831" s="4">
        <v>113400</v>
      </c>
      <c r="Y831" s="11">
        <v>43544</v>
      </c>
      <c r="Z831" s="11">
        <v>47953</v>
      </c>
      <c r="AA831" s="2"/>
      <c r="AB831" s="63" t="s">
        <v>3840</v>
      </c>
      <c r="AC831" s="5" t="s">
        <v>9</v>
      </c>
      <c r="AD831" s="76" t="s">
        <v>1987</v>
      </c>
      <c r="AE831" s="11">
        <v>44727</v>
      </c>
      <c r="AF831" s="23">
        <v>100</v>
      </c>
      <c r="AG831" s="11">
        <v>44972</v>
      </c>
      <c r="AH831" s="5" t="s">
        <v>3</v>
      </c>
      <c r="AI831" s="5" t="s">
        <v>1855</v>
      </c>
      <c r="AJ831" s="5" t="s">
        <v>928</v>
      </c>
      <c r="AK831" s="16" t="s">
        <v>3</v>
      </c>
      <c r="AL831" s="65" t="s">
        <v>929</v>
      </c>
      <c r="AM831" s="31" t="s">
        <v>1176</v>
      </c>
    </row>
    <row r="832" spans="2:39" x14ac:dyDescent="0.25">
      <c r="B832" s="18" t="s">
        <v>3699</v>
      </c>
      <c r="C832" s="44" t="s">
        <v>1493</v>
      </c>
      <c r="D832" s="20" t="s">
        <v>759</v>
      </c>
      <c r="E832" s="67" t="s">
        <v>3</v>
      </c>
      <c r="F832" s="51" t="s">
        <v>3</v>
      </c>
      <c r="G832" s="37" t="s">
        <v>1987</v>
      </c>
      <c r="H832" s="68" t="s">
        <v>2715</v>
      </c>
      <c r="I832" s="62" t="s">
        <v>1157</v>
      </c>
      <c r="J832" s="61" t="s">
        <v>250</v>
      </c>
      <c r="K832" s="4">
        <v>1001875</v>
      </c>
      <c r="L832" s="39">
        <v>100.61</v>
      </c>
      <c r="M832" s="4">
        <v>1006100</v>
      </c>
      <c r="N832" s="4">
        <v>1000000</v>
      </c>
      <c r="O832" s="4">
        <v>1001780</v>
      </c>
      <c r="P832" s="4">
        <v>0</v>
      </c>
      <c r="Q832" s="4">
        <v>-95</v>
      </c>
      <c r="R832" s="4">
        <v>0</v>
      </c>
      <c r="S832" s="4">
        <v>0</v>
      </c>
      <c r="T832" s="23">
        <v>1.24</v>
      </c>
      <c r="U832" s="23">
        <v>1.1850000000000001</v>
      </c>
      <c r="V832" s="5" t="s">
        <v>415</v>
      </c>
      <c r="W832" s="4">
        <v>551</v>
      </c>
      <c r="X832" s="4">
        <v>2067</v>
      </c>
      <c r="Y832" s="11">
        <v>44132</v>
      </c>
      <c r="Z832" s="11">
        <v>48442</v>
      </c>
      <c r="AA832" s="2"/>
      <c r="AB832" s="63" t="s">
        <v>3840</v>
      </c>
      <c r="AC832" s="5" t="s">
        <v>9</v>
      </c>
      <c r="AD832" s="76" t="s">
        <v>1987</v>
      </c>
      <c r="AE832" s="9"/>
      <c r="AF832" s="23"/>
      <c r="AG832" s="11">
        <v>45337</v>
      </c>
      <c r="AH832" s="5" t="s">
        <v>3</v>
      </c>
      <c r="AI832" s="5" t="s">
        <v>147</v>
      </c>
      <c r="AJ832" s="5" t="s">
        <v>928</v>
      </c>
      <c r="AK832" s="16" t="s">
        <v>3</v>
      </c>
      <c r="AL832" s="65" t="s">
        <v>2715</v>
      </c>
      <c r="AM832" s="31" t="s">
        <v>1631</v>
      </c>
    </row>
    <row r="833" spans="2:39" x14ac:dyDescent="0.25">
      <c r="B833" s="18" t="s">
        <v>760</v>
      </c>
      <c r="C833" s="44" t="s">
        <v>761</v>
      </c>
      <c r="D833" s="20" t="s">
        <v>3446</v>
      </c>
      <c r="E833" s="67" t="s">
        <v>3</v>
      </c>
      <c r="F833" s="51" t="s">
        <v>3</v>
      </c>
      <c r="G833" s="37" t="s">
        <v>3445</v>
      </c>
      <c r="H833" s="68" t="s">
        <v>2715</v>
      </c>
      <c r="I833" s="62" t="s">
        <v>3310</v>
      </c>
      <c r="J833" s="61" t="s">
        <v>250</v>
      </c>
      <c r="K833" s="4">
        <v>13048750</v>
      </c>
      <c r="L833" s="39">
        <v>100.4</v>
      </c>
      <c r="M833" s="4">
        <v>13052044</v>
      </c>
      <c r="N833" s="4">
        <v>13000000</v>
      </c>
      <c r="O833" s="4">
        <v>13042071</v>
      </c>
      <c r="P833" s="4">
        <v>0</v>
      </c>
      <c r="Q833" s="4">
        <v>-6679</v>
      </c>
      <c r="R833" s="4">
        <v>0</v>
      </c>
      <c r="S833" s="4">
        <v>0</v>
      </c>
      <c r="T833" s="23">
        <v>0.52200000000000002</v>
      </c>
      <c r="U833" s="23">
        <v>0.32200000000000001</v>
      </c>
      <c r="V833" s="5" t="s">
        <v>415</v>
      </c>
      <c r="W833" s="4">
        <v>4522</v>
      </c>
      <c r="X833" s="4">
        <v>16769</v>
      </c>
      <c r="Y833" s="11">
        <v>44103</v>
      </c>
      <c r="Z833" s="11">
        <v>45512</v>
      </c>
      <c r="AA833" s="2"/>
      <c r="AB833" s="63" t="s">
        <v>3840</v>
      </c>
      <c r="AC833" s="5" t="s">
        <v>4198</v>
      </c>
      <c r="AD833" s="76" t="s">
        <v>1987</v>
      </c>
      <c r="AE833" s="9"/>
      <c r="AF833" s="23"/>
      <c r="AG833" s="11">
        <v>44781</v>
      </c>
      <c r="AH833" s="5" t="s">
        <v>3</v>
      </c>
      <c r="AI833" s="5" t="s">
        <v>2336</v>
      </c>
      <c r="AJ833" s="5" t="s">
        <v>2336</v>
      </c>
      <c r="AK833" s="16" t="s">
        <v>3</v>
      </c>
      <c r="AL833" s="65" t="s">
        <v>3842</v>
      </c>
      <c r="AM833" s="31" t="s">
        <v>2217</v>
      </c>
    </row>
    <row r="834" spans="2:39" x14ac:dyDescent="0.25">
      <c r="B834" s="18" t="s">
        <v>1857</v>
      </c>
      <c r="C834" s="44" t="s">
        <v>1494</v>
      </c>
      <c r="D834" s="20" t="s">
        <v>4358</v>
      </c>
      <c r="E834" s="67" t="s">
        <v>3</v>
      </c>
      <c r="F834" s="51" t="s">
        <v>3</v>
      </c>
      <c r="G834" s="37" t="s">
        <v>1987</v>
      </c>
      <c r="H834" s="68" t="s">
        <v>2715</v>
      </c>
      <c r="I834" s="62" t="s">
        <v>3310</v>
      </c>
      <c r="J834" s="61" t="s">
        <v>250</v>
      </c>
      <c r="K834" s="4">
        <v>12026250</v>
      </c>
      <c r="L834" s="39">
        <v>100.221</v>
      </c>
      <c r="M834" s="4">
        <v>12026522</v>
      </c>
      <c r="N834" s="4">
        <v>12000000</v>
      </c>
      <c r="O834" s="4">
        <v>12023362</v>
      </c>
      <c r="P834" s="4">
        <v>0</v>
      </c>
      <c r="Q834" s="4">
        <v>-2888</v>
      </c>
      <c r="R834" s="4">
        <v>0</v>
      </c>
      <c r="S834" s="4">
        <v>0</v>
      </c>
      <c r="T834" s="23">
        <v>0.48199999999999998</v>
      </c>
      <c r="U834" s="23">
        <v>0.38800000000000001</v>
      </c>
      <c r="V834" s="5" t="s">
        <v>415</v>
      </c>
      <c r="W834" s="4">
        <v>1766</v>
      </c>
      <c r="X834" s="4">
        <v>14599</v>
      </c>
      <c r="Y834" s="11">
        <v>44103</v>
      </c>
      <c r="Z834" s="11">
        <v>45677</v>
      </c>
      <c r="AA834" s="2"/>
      <c r="AB834" s="63" t="s">
        <v>3840</v>
      </c>
      <c r="AC834" s="5" t="s">
        <v>4198</v>
      </c>
      <c r="AD834" s="76" t="s">
        <v>1987</v>
      </c>
      <c r="AE834" s="9"/>
      <c r="AF834" s="23"/>
      <c r="AG834" s="11">
        <v>44946</v>
      </c>
      <c r="AH834" s="5" t="s">
        <v>3</v>
      </c>
      <c r="AI834" s="5" t="s">
        <v>2336</v>
      </c>
      <c r="AJ834" s="5" t="s">
        <v>3225</v>
      </c>
      <c r="AK834" s="16" t="s">
        <v>3</v>
      </c>
      <c r="AL834" s="65" t="s">
        <v>3842</v>
      </c>
      <c r="AM834" s="31" t="s">
        <v>2217</v>
      </c>
    </row>
    <row r="835" spans="2:39" x14ac:dyDescent="0.25">
      <c r="B835" s="18" t="s">
        <v>2939</v>
      </c>
      <c r="C835" s="44" t="s">
        <v>1858</v>
      </c>
      <c r="D835" s="20" t="s">
        <v>3447</v>
      </c>
      <c r="E835" s="67" t="s">
        <v>3</v>
      </c>
      <c r="F835" s="51" t="s">
        <v>3</v>
      </c>
      <c r="G835" s="37" t="s">
        <v>1256</v>
      </c>
      <c r="H835" s="68" t="s">
        <v>2715</v>
      </c>
      <c r="I835" s="62" t="s">
        <v>3310</v>
      </c>
      <c r="J835" s="61" t="s">
        <v>250</v>
      </c>
      <c r="K835" s="4">
        <v>4498398</v>
      </c>
      <c r="L835" s="39">
        <v>101.43</v>
      </c>
      <c r="M835" s="4">
        <v>4564343</v>
      </c>
      <c r="N835" s="4">
        <v>4500000</v>
      </c>
      <c r="O835" s="4">
        <v>4499177</v>
      </c>
      <c r="P835" s="4">
        <v>0</v>
      </c>
      <c r="Q835" s="4">
        <v>251</v>
      </c>
      <c r="R835" s="4">
        <v>0</v>
      </c>
      <c r="S835" s="4">
        <v>0</v>
      </c>
      <c r="T835" s="23">
        <v>2.54</v>
      </c>
      <c r="U835" s="23">
        <v>2.56</v>
      </c>
      <c r="V835" s="5" t="s">
        <v>415</v>
      </c>
      <c r="W835" s="4">
        <v>5080</v>
      </c>
      <c r="X835" s="4">
        <v>114300</v>
      </c>
      <c r="Y835" s="11">
        <v>43053</v>
      </c>
      <c r="Z835" s="11">
        <v>45792</v>
      </c>
      <c r="AA835" s="2"/>
      <c r="AB835" s="63" t="s">
        <v>3840</v>
      </c>
      <c r="AC835" s="5" t="s">
        <v>9</v>
      </c>
      <c r="AD835" s="76" t="s">
        <v>4350</v>
      </c>
      <c r="AE835" s="11">
        <v>44515</v>
      </c>
      <c r="AF835" s="23">
        <v>100</v>
      </c>
      <c r="AG835" s="11">
        <v>45031</v>
      </c>
      <c r="AH835" s="5" t="s">
        <v>3</v>
      </c>
      <c r="AI835" s="5" t="s">
        <v>3447</v>
      </c>
      <c r="AJ835" s="5" t="s">
        <v>3</v>
      </c>
      <c r="AK835" s="16" t="s">
        <v>3</v>
      </c>
      <c r="AL835" s="65" t="s">
        <v>929</v>
      </c>
      <c r="AM835" s="31" t="s">
        <v>2217</v>
      </c>
    </row>
    <row r="836" spans="2:39" x14ac:dyDescent="0.25">
      <c r="B836" s="18" t="s">
        <v>4056</v>
      </c>
      <c r="C836" s="44" t="s">
        <v>1495</v>
      </c>
      <c r="D836" s="20" t="s">
        <v>2140</v>
      </c>
      <c r="E836" s="67" t="s">
        <v>3</v>
      </c>
      <c r="F836" s="51" t="s">
        <v>3</v>
      </c>
      <c r="G836" s="37" t="s">
        <v>1256</v>
      </c>
      <c r="H836" s="68" t="s">
        <v>3842</v>
      </c>
      <c r="I836" s="62" t="s">
        <v>10</v>
      </c>
      <c r="J836" s="61" t="s">
        <v>250</v>
      </c>
      <c r="K836" s="4">
        <v>3890000</v>
      </c>
      <c r="L836" s="39">
        <v>102.657</v>
      </c>
      <c r="M836" s="4">
        <v>3993357</v>
      </c>
      <c r="N836" s="4">
        <v>3890000</v>
      </c>
      <c r="O836" s="4">
        <v>3890000</v>
      </c>
      <c r="P836" s="4">
        <v>0</v>
      </c>
      <c r="Q836" s="4">
        <v>0</v>
      </c>
      <c r="R836" s="4">
        <v>0</v>
      </c>
      <c r="S836" s="4">
        <v>0</v>
      </c>
      <c r="T836" s="23">
        <v>3.629</v>
      </c>
      <c r="U836" s="23">
        <v>3.6440000000000001</v>
      </c>
      <c r="V836" s="5" t="s">
        <v>4359</v>
      </c>
      <c r="W836" s="4">
        <v>16077</v>
      </c>
      <c r="X836" s="4">
        <v>141168</v>
      </c>
      <c r="Y836" s="11">
        <v>42991</v>
      </c>
      <c r="Z836" s="11">
        <v>54016</v>
      </c>
      <c r="AA836" s="2"/>
      <c r="AB836" s="63" t="s">
        <v>3840</v>
      </c>
      <c r="AC836" s="5" t="s">
        <v>9</v>
      </c>
      <c r="AD836" s="76" t="s">
        <v>143</v>
      </c>
      <c r="AE836" s="11">
        <v>45250</v>
      </c>
      <c r="AF836" s="23">
        <v>100</v>
      </c>
      <c r="AG836" s="11">
        <v>45616</v>
      </c>
      <c r="AH836" s="5" t="s">
        <v>3</v>
      </c>
      <c r="AI836" s="5" t="s">
        <v>2141</v>
      </c>
      <c r="AJ836" s="5" t="s">
        <v>928</v>
      </c>
      <c r="AK836" s="16" t="s">
        <v>3</v>
      </c>
      <c r="AL836" s="65" t="s">
        <v>2715</v>
      </c>
      <c r="AM836" s="31" t="s">
        <v>1176</v>
      </c>
    </row>
    <row r="837" spans="2:39" x14ac:dyDescent="0.25">
      <c r="B837" s="18" t="s">
        <v>762</v>
      </c>
      <c r="C837" s="44" t="s">
        <v>2591</v>
      </c>
      <c r="D837" s="20" t="s">
        <v>148</v>
      </c>
      <c r="E837" s="67" t="s">
        <v>3</v>
      </c>
      <c r="F837" s="51" t="s">
        <v>3</v>
      </c>
      <c r="G837" s="37" t="s">
        <v>1256</v>
      </c>
      <c r="H837" s="68" t="s">
        <v>3842</v>
      </c>
      <c r="I837" s="62" t="s">
        <v>10</v>
      </c>
      <c r="J837" s="61" t="s">
        <v>250</v>
      </c>
      <c r="K837" s="4">
        <v>4937500</v>
      </c>
      <c r="L837" s="39">
        <v>102.474</v>
      </c>
      <c r="M837" s="4">
        <v>5059654</v>
      </c>
      <c r="N837" s="4">
        <v>4937500</v>
      </c>
      <c r="O837" s="4">
        <v>4937500</v>
      </c>
      <c r="P837" s="4">
        <v>0</v>
      </c>
      <c r="Q837" s="4">
        <v>0</v>
      </c>
      <c r="R837" s="4">
        <v>0</v>
      </c>
      <c r="S837" s="4">
        <v>0</v>
      </c>
      <c r="T837" s="23">
        <v>3.7869999999999999</v>
      </c>
      <c r="U837" s="23">
        <v>3.802</v>
      </c>
      <c r="V837" s="5" t="s">
        <v>4359</v>
      </c>
      <c r="W837" s="4">
        <v>21295</v>
      </c>
      <c r="X837" s="4">
        <v>186983</v>
      </c>
      <c r="Y837" s="11">
        <v>43544</v>
      </c>
      <c r="Z837" s="11">
        <v>54563</v>
      </c>
      <c r="AA837" s="2"/>
      <c r="AB837" s="63" t="s">
        <v>3840</v>
      </c>
      <c r="AC837" s="5" t="s">
        <v>9</v>
      </c>
      <c r="AD837" s="76" t="s">
        <v>143</v>
      </c>
      <c r="AE837" s="11">
        <v>44520</v>
      </c>
      <c r="AF837" s="23">
        <v>100</v>
      </c>
      <c r="AG837" s="11">
        <v>45342</v>
      </c>
      <c r="AH837" s="5" t="s">
        <v>3</v>
      </c>
      <c r="AI837" s="5" t="s">
        <v>149</v>
      </c>
      <c r="AJ837" s="5" t="s">
        <v>928</v>
      </c>
      <c r="AK837" s="16" t="s">
        <v>3</v>
      </c>
      <c r="AL837" s="65" t="s">
        <v>3842</v>
      </c>
      <c r="AM837" s="31" t="s">
        <v>1176</v>
      </c>
    </row>
    <row r="838" spans="2:39" x14ac:dyDescent="0.25">
      <c r="B838" s="18" t="s">
        <v>1859</v>
      </c>
      <c r="C838" s="44" t="s">
        <v>4057</v>
      </c>
      <c r="D838" s="20" t="s">
        <v>2337</v>
      </c>
      <c r="E838" s="67" t="s">
        <v>3</v>
      </c>
      <c r="F838" s="51" t="s">
        <v>3</v>
      </c>
      <c r="G838" s="37" t="s">
        <v>1256</v>
      </c>
      <c r="H838" s="68" t="s">
        <v>2715</v>
      </c>
      <c r="I838" s="62" t="s">
        <v>10</v>
      </c>
      <c r="J838" s="61" t="s">
        <v>250</v>
      </c>
      <c r="K838" s="4">
        <v>7248932</v>
      </c>
      <c r="L838" s="39">
        <v>100.794</v>
      </c>
      <c r="M838" s="4">
        <v>7307574</v>
      </c>
      <c r="N838" s="4">
        <v>7250000</v>
      </c>
      <c r="O838" s="4">
        <v>7249902</v>
      </c>
      <c r="P838" s="4">
        <v>0</v>
      </c>
      <c r="Q838" s="4">
        <v>570</v>
      </c>
      <c r="R838" s="4">
        <v>0</v>
      </c>
      <c r="S838" s="4">
        <v>0</v>
      </c>
      <c r="T838" s="23">
        <v>3.34</v>
      </c>
      <c r="U838" s="23">
        <v>3.3690000000000002</v>
      </c>
      <c r="V838" s="5" t="s">
        <v>415</v>
      </c>
      <c r="W838" s="4">
        <v>5381</v>
      </c>
      <c r="X838" s="4">
        <v>242150</v>
      </c>
      <c r="Y838" s="11">
        <v>43263</v>
      </c>
      <c r="Z838" s="11">
        <v>45099</v>
      </c>
      <c r="AA838" s="2"/>
      <c r="AB838" s="63" t="s">
        <v>3840</v>
      </c>
      <c r="AC838" s="5" t="s">
        <v>9</v>
      </c>
      <c r="AD838" s="76" t="s">
        <v>4350</v>
      </c>
      <c r="AE838" s="11">
        <v>44338</v>
      </c>
      <c r="AF838" s="23">
        <v>100</v>
      </c>
      <c r="AG838" s="11">
        <v>44309</v>
      </c>
      <c r="AH838" s="5" t="s">
        <v>3</v>
      </c>
      <c r="AI838" s="5" t="s">
        <v>1261</v>
      </c>
      <c r="AJ838" s="5" t="s">
        <v>928</v>
      </c>
      <c r="AK838" s="16" t="s">
        <v>3</v>
      </c>
      <c r="AL838" s="65" t="s">
        <v>929</v>
      </c>
      <c r="AM838" s="31" t="s">
        <v>1992</v>
      </c>
    </row>
    <row r="839" spans="2:39" x14ac:dyDescent="0.25">
      <c r="B839" s="18" t="s">
        <v>2940</v>
      </c>
      <c r="C839" s="44" t="s">
        <v>2941</v>
      </c>
      <c r="D839" s="20" t="s">
        <v>2337</v>
      </c>
      <c r="E839" s="67" t="s">
        <v>3</v>
      </c>
      <c r="F839" s="51" t="s">
        <v>3</v>
      </c>
      <c r="G839" s="37" t="s">
        <v>1256</v>
      </c>
      <c r="H839" s="68" t="s">
        <v>2715</v>
      </c>
      <c r="I839" s="62" t="s">
        <v>3538</v>
      </c>
      <c r="J839" s="61" t="s">
        <v>250</v>
      </c>
      <c r="K839" s="4">
        <v>4241201</v>
      </c>
      <c r="L839" s="39">
        <v>101.05</v>
      </c>
      <c r="M839" s="4">
        <v>4294604</v>
      </c>
      <c r="N839" s="4">
        <v>4250000</v>
      </c>
      <c r="O839" s="4">
        <v>4248514</v>
      </c>
      <c r="P839" s="4">
        <v>0</v>
      </c>
      <c r="Q839" s="4">
        <v>3312</v>
      </c>
      <c r="R839" s="4">
        <v>0</v>
      </c>
      <c r="S839" s="4">
        <v>0</v>
      </c>
      <c r="T839" s="23">
        <v>3.53</v>
      </c>
      <c r="U839" s="23">
        <v>3.6379999999999999</v>
      </c>
      <c r="V839" s="5" t="s">
        <v>415</v>
      </c>
      <c r="W839" s="4">
        <v>3334</v>
      </c>
      <c r="X839" s="4">
        <v>150025</v>
      </c>
      <c r="Y839" s="11">
        <v>43369</v>
      </c>
      <c r="Z839" s="11">
        <v>45099</v>
      </c>
      <c r="AA839" s="2"/>
      <c r="AB839" s="63" t="s">
        <v>3840</v>
      </c>
      <c r="AC839" s="5" t="s">
        <v>9</v>
      </c>
      <c r="AD839" s="76" t="s">
        <v>4350</v>
      </c>
      <c r="AE839" s="11">
        <v>44338</v>
      </c>
      <c r="AF839" s="23">
        <v>100</v>
      </c>
      <c r="AG839" s="11">
        <v>44370</v>
      </c>
      <c r="AH839" s="5" t="s">
        <v>3</v>
      </c>
      <c r="AI839" s="5" t="s">
        <v>1261</v>
      </c>
      <c r="AJ839" s="5" t="s">
        <v>928</v>
      </c>
      <c r="AK839" s="16" t="s">
        <v>3</v>
      </c>
      <c r="AL839" s="65" t="s">
        <v>2715</v>
      </c>
      <c r="AM839" s="31" t="s">
        <v>1161</v>
      </c>
    </row>
    <row r="840" spans="2:39" x14ac:dyDescent="0.25">
      <c r="B840" s="18" t="s">
        <v>431</v>
      </c>
      <c r="C840" s="44" t="s">
        <v>2942</v>
      </c>
      <c r="D840" s="20" t="s">
        <v>2337</v>
      </c>
      <c r="E840" s="67" t="s">
        <v>3</v>
      </c>
      <c r="F840" s="51" t="s">
        <v>3</v>
      </c>
      <c r="G840" s="37" t="s">
        <v>1256</v>
      </c>
      <c r="H840" s="68" t="s">
        <v>3842</v>
      </c>
      <c r="I840" s="62" t="s">
        <v>10</v>
      </c>
      <c r="J840" s="61" t="s">
        <v>250</v>
      </c>
      <c r="K840" s="4">
        <v>5530238</v>
      </c>
      <c r="L840" s="39">
        <v>101.098</v>
      </c>
      <c r="M840" s="4">
        <v>5560390</v>
      </c>
      <c r="N840" s="4">
        <v>5500000</v>
      </c>
      <c r="O840" s="4">
        <v>5509007</v>
      </c>
      <c r="P840" s="4">
        <v>0</v>
      </c>
      <c r="Q840" s="4">
        <v>-12238</v>
      </c>
      <c r="R840" s="4">
        <v>0</v>
      </c>
      <c r="S840" s="4">
        <v>0</v>
      </c>
      <c r="T840" s="23">
        <v>3.85</v>
      </c>
      <c r="U840" s="23">
        <v>3.645</v>
      </c>
      <c r="V840" s="5" t="s">
        <v>415</v>
      </c>
      <c r="W840" s="4">
        <v>4706</v>
      </c>
      <c r="X840" s="4">
        <v>211750</v>
      </c>
      <c r="Y840" s="11">
        <v>43551</v>
      </c>
      <c r="Z840" s="11">
        <v>45467</v>
      </c>
      <c r="AA840" s="2"/>
      <c r="AB840" s="63" t="s">
        <v>3840</v>
      </c>
      <c r="AC840" s="5" t="s">
        <v>9</v>
      </c>
      <c r="AD840" s="76" t="s">
        <v>4350</v>
      </c>
      <c r="AE840" s="11">
        <v>44277</v>
      </c>
      <c r="AF840" s="23">
        <v>100</v>
      </c>
      <c r="AG840" s="11">
        <v>44553</v>
      </c>
      <c r="AH840" s="5" t="s">
        <v>3</v>
      </c>
      <c r="AI840" s="5" t="s">
        <v>1261</v>
      </c>
      <c r="AJ840" s="5" t="s">
        <v>928</v>
      </c>
      <c r="AK840" s="16" t="s">
        <v>3</v>
      </c>
      <c r="AL840" s="65" t="s">
        <v>2715</v>
      </c>
      <c r="AM840" s="31" t="s">
        <v>1176</v>
      </c>
    </row>
    <row r="841" spans="2:39" x14ac:dyDescent="0.25">
      <c r="B841" s="18" t="s">
        <v>1860</v>
      </c>
      <c r="C841" s="44" t="s">
        <v>763</v>
      </c>
      <c r="D841" s="20" t="s">
        <v>2337</v>
      </c>
      <c r="E841" s="67" t="s">
        <v>3</v>
      </c>
      <c r="F841" s="51" t="s">
        <v>3</v>
      </c>
      <c r="G841" s="37" t="s">
        <v>1256</v>
      </c>
      <c r="H841" s="68" t="s">
        <v>2715</v>
      </c>
      <c r="I841" s="62" t="s">
        <v>1157</v>
      </c>
      <c r="J841" s="61" t="s">
        <v>250</v>
      </c>
      <c r="K841" s="4">
        <v>5998959</v>
      </c>
      <c r="L841" s="39">
        <v>101.616</v>
      </c>
      <c r="M841" s="4">
        <v>6096949</v>
      </c>
      <c r="N841" s="4">
        <v>6000000</v>
      </c>
      <c r="O841" s="4">
        <v>5999435</v>
      </c>
      <c r="P841" s="4">
        <v>0</v>
      </c>
      <c r="Q841" s="4">
        <v>221</v>
      </c>
      <c r="R841" s="4">
        <v>0</v>
      </c>
      <c r="S841" s="4">
        <v>0</v>
      </c>
      <c r="T841" s="23">
        <v>3.55</v>
      </c>
      <c r="U841" s="23">
        <v>3.58</v>
      </c>
      <c r="V841" s="5" t="s">
        <v>415</v>
      </c>
      <c r="W841" s="4">
        <v>5325</v>
      </c>
      <c r="X841" s="4">
        <v>213000</v>
      </c>
      <c r="Y841" s="11">
        <v>43383</v>
      </c>
      <c r="Z841" s="11">
        <v>45221</v>
      </c>
      <c r="AA841" s="2"/>
      <c r="AB841" s="63" t="s">
        <v>3840</v>
      </c>
      <c r="AC841" s="5" t="s">
        <v>9</v>
      </c>
      <c r="AD841" s="76" t="s">
        <v>4350</v>
      </c>
      <c r="AE841" s="11">
        <v>44522</v>
      </c>
      <c r="AF841" s="23">
        <v>100</v>
      </c>
      <c r="AG841" s="11">
        <v>44430</v>
      </c>
      <c r="AH841" s="5" t="s">
        <v>3</v>
      </c>
      <c r="AI841" s="5" t="s">
        <v>1261</v>
      </c>
      <c r="AJ841" s="5" t="s">
        <v>928</v>
      </c>
      <c r="AK841" s="16" t="s">
        <v>3</v>
      </c>
      <c r="AL841" s="65" t="s">
        <v>2715</v>
      </c>
      <c r="AM841" s="31" t="s">
        <v>1631</v>
      </c>
    </row>
    <row r="842" spans="2:39" x14ac:dyDescent="0.25">
      <c r="B842" s="18" t="s">
        <v>2943</v>
      </c>
      <c r="C842" s="44" t="s">
        <v>3226</v>
      </c>
      <c r="D842" s="20" t="s">
        <v>2337</v>
      </c>
      <c r="E842" s="67" t="s">
        <v>3</v>
      </c>
      <c r="F842" s="51" t="s">
        <v>3</v>
      </c>
      <c r="G842" s="37" t="s">
        <v>1256</v>
      </c>
      <c r="H842" s="68" t="s">
        <v>2715</v>
      </c>
      <c r="I842" s="62" t="s">
        <v>252</v>
      </c>
      <c r="J842" s="61" t="s">
        <v>250</v>
      </c>
      <c r="K842" s="4">
        <v>5999986</v>
      </c>
      <c r="L842" s="39">
        <v>102.07899999999999</v>
      </c>
      <c r="M842" s="4">
        <v>6124723</v>
      </c>
      <c r="N842" s="4">
        <v>6000000</v>
      </c>
      <c r="O842" s="4">
        <v>5999841</v>
      </c>
      <c r="P842" s="4">
        <v>0</v>
      </c>
      <c r="Q842" s="4">
        <v>-67</v>
      </c>
      <c r="R842" s="4">
        <v>0</v>
      </c>
      <c r="S842" s="4">
        <v>0</v>
      </c>
      <c r="T842" s="23">
        <v>3.72</v>
      </c>
      <c r="U842" s="23">
        <v>3.7480000000000002</v>
      </c>
      <c r="V842" s="5" t="s">
        <v>415</v>
      </c>
      <c r="W842" s="4">
        <v>5580</v>
      </c>
      <c r="X842" s="4">
        <v>223200</v>
      </c>
      <c r="Y842" s="11">
        <v>43383</v>
      </c>
      <c r="Z842" s="11">
        <v>45221</v>
      </c>
      <c r="AA842" s="2"/>
      <c r="AB842" s="63" t="s">
        <v>3840</v>
      </c>
      <c r="AC842" s="5" t="s">
        <v>9</v>
      </c>
      <c r="AD842" s="76" t="s">
        <v>4350</v>
      </c>
      <c r="AE842" s="11">
        <v>44522</v>
      </c>
      <c r="AF842" s="23">
        <v>100</v>
      </c>
      <c r="AG842" s="11">
        <v>44491</v>
      </c>
      <c r="AH842" s="5" t="s">
        <v>3</v>
      </c>
      <c r="AI842" s="5" t="s">
        <v>1261</v>
      </c>
      <c r="AJ842" s="5" t="s">
        <v>928</v>
      </c>
      <c r="AK842" s="16" t="s">
        <v>3</v>
      </c>
      <c r="AL842" s="65" t="s">
        <v>2715</v>
      </c>
      <c r="AM842" s="31" t="s">
        <v>898</v>
      </c>
    </row>
    <row r="843" spans="2:39" x14ac:dyDescent="0.25">
      <c r="B843" s="18" t="s">
        <v>4058</v>
      </c>
      <c r="C843" s="44" t="s">
        <v>1861</v>
      </c>
      <c r="D843" s="20" t="s">
        <v>2337</v>
      </c>
      <c r="E843" s="67" t="s">
        <v>3</v>
      </c>
      <c r="F843" s="51" t="s">
        <v>3</v>
      </c>
      <c r="G843" s="37" t="s">
        <v>1256</v>
      </c>
      <c r="H843" s="68" t="s">
        <v>3842</v>
      </c>
      <c r="I843" s="62" t="s">
        <v>10</v>
      </c>
      <c r="J843" s="61" t="s">
        <v>250</v>
      </c>
      <c r="K843" s="4">
        <v>4999706</v>
      </c>
      <c r="L843" s="39">
        <v>102.259</v>
      </c>
      <c r="M843" s="4">
        <v>5112967</v>
      </c>
      <c r="N843" s="4">
        <v>5000000</v>
      </c>
      <c r="O843" s="4">
        <v>4999755</v>
      </c>
      <c r="P843" s="4">
        <v>0</v>
      </c>
      <c r="Q843" s="4">
        <v>10</v>
      </c>
      <c r="R843" s="4">
        <v>0</v>
      </c>
      <c r="S843" s="4">
        <v>0</v>
      </c>
      <c r="T843" s="23">
        <v>3.97</v>
      </c>
      <c r="U843" s="23">
        <v>4.0030000000000001</v>
      </c>
      <c r="V843" s="5" t="s">
        <v>415</v>
      </c>
      <c r="W843" s="4">
        <v>4963</v>
      </c>
      <c r="X843" s="4">
        <v>198500</v>
      </c>
      <c r="Y843" s="11">
        <v>43383</v>
      </c>
      <c r="Z843" s="11">
        <v>45587</v>
      </c>
      <c r="AA843" s="2"/>
      <c r="AB843" s="63" t="s">
        <v>3840</v>
      </c>
      <c r="AC843" s="5" t="s">
        <v>9</v>
      </c>
      <c r="AD843" s="76" t="s">
        <v>4350</v>
      </c>
      <c r="AE843" s="11">
        <v>44522</v>
      </c>
      <c r="AF843" s="23">
        <v>100</v>
      </c>
      <c r="AG843" s="11">
        <v>44614</v>
      </c>
      <c r="AH843" s="5" t="s">
        <v>3</v>
      </c>
      <c r="AI843" s="5" t="s">
        <v>1261</v>
      </c>
      <c r="AJ843" s="5" t="s">
        <v>928</v>
      </c>
      <c r="AK843" s="16" t="s">
        <v>3</v>
      </c>
      <c r="AL843" s="65" t="s">
        <v>2715</v>
      </c>
      <c r="AM843" s="31" t="s">
        <v>1176</v>
      </c>
    </row>
    <row r="844" spans="2:39" x14ac:dyDescent="0.25">
      <c r="B844" s="18" t="s">
        <v>764</v>
      </c>
      <c r="C844" s="44" t="s">
        <v>765</v>
      </c>
      <c r="D844" s="20" t="s">
        <v>2337</v>
      </c>
      <c r="E844" s="67" t="s">
        <v>3</v>
      </c>
      <c r="F844" s="51" t="s">
        <v>3</v>
      </c>
      <c r="G844" s="37" t="s">
        <v>1256</v>
      </c>
      <c r="H844" s="68" t="s">
        <v>2715</v>
      </c>
      <c r="I844" s="62" t="s">
        <v>1157</v>
      </c>
      <c r="J844" s="61" t="s">
        <v>250</v>
      </c>
      <c r="K844" s="4">
        <v>5248833</v>
      </c>
      <c r="L844" s="39">
        <v>100.375</v>
      </c>
      <c r="M844" s="4">
        <v>5269695</v>
      </c>
      <c r="N844" s="4">
        <v>5250000</v>
      </c>
      <c r="O844" s="4">
        <v>5248949</v>
      </c>
      <c r="P844" s="4">
        <v>0</v>
      </c>
      <c r="Q844" s="4">
        <v>116</v>
      </c>
      <c r="R844" s="4">
        <v>0</v>
      </c>
      <c r="S844" s="4">
        <v>0</v>
      </c>
      <c r="T844" s="23">
        <v>0.92</v>
      </c>
      <c r="U844" s="23">
        <v>0.93</v>
      </c>
      <c r="V844" s="5" t="s">
        <v>415</v>
      </c>
      <c r="W844" s="4">
        <v>1208</v>
      </c>
      <c r="X844" s="4">
        <v>11941</v>
      </c>
      <c r="Y844" s="11">
        <v>44089</v>
      </c>
      <c r="Z844" s="11">
        <v>45252</v>
      </c>
      <c r="AA844" s="2"/>
      <c r="AB844" s="63" t="s">
        <v>3840</v>
      </c>
      <c r="AC844" s="5" t="s">
        <v>9</v>
      </c>
      <c r="AD844" s="76" t="s">
        <v>4350</v>
      </c>
      <c r="AE844" s="11">
        <v>45099</v>
      </c>
      <c r="AF844" s="23">
        <v>100</v>
      </c>
      <c r="AG844" s="11">
        <v>45099</v>
      </c>
      <c r="AH844" s="5" t="s">
        <v>3</v>
      </c>
      <c r="AI844" s="5" t="s">
        <v>1261</v>
      </c>
      <c r="AJ844" s="5" t="s">
        <v>928</v>
      </c>
      <c r="AK844" s="16" t="s">
        <v>3</v>
      </c>
      <c r="AL844" s="65" t="s">
        <v>929</v>
      </c>
      <c r="AM844" s="31" t="s">
        <v>1631</v>
      </c>
    </row>
    <row r="845" spans="2:39" x14ac:dyDescent="0.25">
      <c r="B845" s="18" t="s">
        <v>1862</v>
      </c>
      <c r="C845" s="44" t="s">
        <v>766</v>
      </c>
      <c r="D845" s="20" t="s">
        <v>2944</v>
      </c>
      <c r="E845" s="67" t="s">
        <v>3</v>
      </c>
      <c r="F845" s="51" t="s">
        <v>3</v>
      </c>
      <c r="G845" s="37" t="s">
        <v>1256</v>
      </c>
      <c r="H845" s="68" t="s">
        <v>2715</v>
      </c>
      <c r="I845" s="62" t="s">
        <v>252</v>
      </c>
      <c r="J845" s="61" t="s">
        <v>250</v>
      </c>
      <c r="K845" s="4">
        <v>3999348</v>
      </c>
      <c r="L845" s="39">
        <v>100.435</v>
      </c>
      <c r="M845" s="4">
        <v>4017394</v>
      </c>
      <c r="N845" s="4">
        <v>4000000</v>
      </c>
      <c r="O845" s="4">
        <v>3999399</v>
      </c>
      <c r="P845" s="4">
        <v>0</v>
      </c>
      <c r="Q845" s="4">
        <v>51</v>
      </c>
      <c r="R845" s="4">
        <v>0</v>
      </c>
      <c r="S845" s="4">
        <v>0</v>
      </c>
      <c r="T845" s="23">
        <v>1.37</v>
      </c>
      <c r="U845" s="23">
        <v>1.379</v>
      </c>
      <c r="V845" s="5" t="s">
        <v>415</v>
      </c>
      <c r="W845" s="4">
        <v>1370</v>
      </c>
      <c r="X845" s="4">
        <v>13548</v>
      </c>
      <c r="Y845" s="11">
        <v>44089</v>
      </c>
      <c r="Z845" s="11">
        <v>45313</v>
      </c>
      <c r="AA845" s="2"/>
      <c r="AB845" s="63" t="s">
        <v>3840</v>
      </c>
      <c r="AC845" s="5" t="s">
        <v>9</v>
      </c>
      <c r="AD845" s="76" t="s">
        <v>4350</v>
      </c>
      <c r="AE845" s="11">
        <v>45099</v>
      </c>
      <c r="AF845" s="23">
        <v>100</v>
      </c>
      <c r="AG845" s="11">
        <v>45160</v>
      </c>
      <c r="AH845" s="5" t="s">
        <v>3</v>
      </c>
      <c r="AI845" s="5" t="s">
        <v>1261</v>
      </c>
      <c r="AJ845" s="5" t="s">
        <v>1261</v>
      </c>
      <c r="AK845" s="16" t="s">
        <v>3</v>
      </c>
      <c r="AL845" s="65" t="s">
        <v>929</v>
      </c>
      <c r="AM845" s="31" t="s">
        <v>898</v>
      </c>
    </row>
    <row r="846" spans="2:39" x14ac:dyDescent="0.25">
      <c r="B846" s="18" t="s">
        <v>2945</v>
      </c>
      <c r="C846" s="44" t="s">
        <v>2142</v>
      </c>
      <c r="D846" s="20" t="s">
        <v>3448</v>
      </c>
      <c r="E846" s="67" t="s">
        <v>3</v>
      </c>
      <c r="F846" s="51" t="s">
        <v>3</v>
      </c>
      <c r="G846" s="37" t="s">
        <v>1987</v>
      </c>
      <c r="H846" s="68" t="s">
        <v>2715</v>
      </c>
      <c r="I846" s="62" t="s">
        <v>3310</v>
      </c>
      <c r="J846" s="61" t="s">
        <v>250</v>
      </c>
      <c r="K846" s="4">
        <v>25046875</v>
      </c>
      <c r="L846" s="39">
        <v>100.325</v>
      </c>
      <c r="M846" s="4">
        <v>25081373</v>
      </c>
      <c r="N846" s="4">
        <v>25000000</v>
      </c>
      <c r="O846" s="4">
        <v>25041875</v>
      </c>
      <c r="P846" s="4">
        <v>0</v>
      </c>
      <c r="Q846" s="4">
        <v>-5000</v>
      </c>
      <c r="R846" s="4">
        <v>0</v>
      </c>
      <c r="S846" s="4">
        <v>0</v>
      </c>
      <c r="T846" s="23">
        <v>0.48899999999999999</v>
      </c>
      <c r="U846" s="23">
        <v>0.41099999999999998</v>
      </c>
      <c r="V846" s="5" t="s">
        <v>415</v>
      </c>
      <c r="W846" s="4">
        <v>5769</v>
      </c>
      <c r="X846" s="4">
        <v>30163</v>
      </c>
      <c r="Y846" s="11">
        <v>44103</v>
      </c>
      <c r="Z846" s="11">
        <v>45884</v>
      </c>
      <c r="AA846" s="2"/>
      <c r="AB846" s="63" t="s">
        <v>3840</v>
      </c>
      <c r="AC846" s="5" t="s">
        <v>4198</v>
      </c>
      <c r="AD846" s="76" t="s">
        <v>1987</v>
      </c>
      <c r="AE846" s="9"/>
      <c r="AF846" s="23"/>
      <c r="AG846" s="11">
        <v>44972</v>
      </c>
      <c r="AH846" s="5" t="s">
        <v>3</v>
      </c>
      <c r="AI846" s="5" t="s">
        <v>150</v>
      </c>
      <c r="AJ846" s="5" t="s">
        <v>150</v>
      </c>
      <c r="AK846" s="16" t="s">
        <v>3</v>
      </c>
      <c r="AL846" s="65" t="s">
        <v>3842</v>
      </c>
      <c r="AM846" s="31" t="s">
        <v>2217</v>
      </c>
    </row>
    <row r="847" spans="2:39" x14ac:dyDescent="0.25">
      <c r="B847" s="18" t="s">
        <v>4059</v>
      </c>
      <c r="C847" s="44" t="s">
        <v>151</v>
      </c>
      <c r="D847" s="20" t="s">
        <v>3449</v>
      </c>
      <c r="E847" s="67" t="s">
        <v>3</v>
      </c>
      <c r="F847" s="51" t="s">
        <v>3</v>
      </c>
      <c r="G847" s="37" t="s">
        <v>1987</v>
      </c>
      <c r="H847" s="68" t="s">
        <v>3842</v>
      </c>
      <c r="I847" s="62" t="s">
        <v>3310</v>
      </c>
      <c r="J847" s="61" t="s">
        <v>250</v>
      </c>
      <c r="K847" s="4">
        <v>3851809</v>
      </c>
      <c r="L847" s="39">
        <v>100.53400000000001</v>
      </c>
      <c r="M847" s="4">
        <v>3900719</v>
      </c>
      <c r="N847" s="4">
        <v>3880000</v>
      </c>
      <c r="O847" s="4">
        <v>3870950</v>
      </c>
      <c r="P847" s="4">
        <v>0</v>
      </c>
      <c r="Q847" s="4">
        <v>5573</v>
      </c>
      <c r="R847" s="4">
        <v>0</v>
      </c>
      <c r="S847" s="4">
        <v>0</v>
      </c>
      <c r="T847" s="23">
        <v>3.0819999999999999</v>
      </c>
      <c r="U847" s="23">
        <v>3.3820000000000001</v>
      </c>
      <c r="V847" s="5" t="s">
        <v>3432</v>
      </c>
      <c r="W847" s="4">
        <v>21923</v>
      </c>
      <c r="X847" s="4">
        <v>119582</v>
      </c>
      <c r="Y847" s="11">
        <v>42921</v>
      </c>
      <c r="Z847" s="11">
        <v>53898</v>
      </c>
      <c r="AA847" s="2"/>
      <c r="AB847" s="63" t="s">
        <v>3840</v>
      </c>
      <c r="AC847" s="5" t="s">
        <v>9</v>
      </c>
      <c r="AD847" s="76" t="s">
        <v>143</v>
      </c>
      <c r="AE847" s="9"/>
      <c r="AF847" s="23"/>
      <c r="AG847" s="11">
        <v>44767</v>
      </c>
      <c r="AH847" s="5" t="s">
        <v>3</v>
      </c>
      <c r="AI847" s="5" t="s">
        <v>2338</v>
      </c>
      <c r="AJ847" s="5" t="s">
        <v>928</v>
      </c>
      <c r="AK847" s="16" t="s">
        <v>3</v>
      </c>
      <c r="AL847" s="65" t="s">
        <v>3842</v>
      </c>
      <c r="AM847" s="31" t="s">
        <v>1651</v>
      </c>
    </row>
    <row r="848" spans="2:39" x14ac:dyDescent="0.25">
      <c r="B848" s="18" t="s">
        <v>767</v>
      </c>
      <c r="C848" s="44" t="s">
        <v>2339</v>
      </c>
      <c r="D848" s="20" t="s">
        <v>768</v>
      </c>
      <c r="E848" s="67" t="s">
        <v>3</v>
      </c>
      <c r="F848" s="51" t="s">
        <v>3</v>
      </c>
      <c r="G848" s="37" t="s">
        <v>1256</v>
      </c>
      <c r="H848" s="68" t="s">
        <v>3842</v>
      </c>
      <c r="I848" s="62" t="s">
        <v>3310</v>
      </c>
      <c r="J848" s="61" t="s">
        <v>250</v>
      </c>
      <c r="K848" s="4">
        <v>3910000</v>
      </c>
      <c r="L848" s="39">
        <v>105.008</v>
      </c>
      <c r="M848" s="4">
        <v>4105813</v>
      </c>
      <c r="N848" s="4">
        <v>3910000</v>
      </c>
      <c r="O848" s="4">
        <v>3910000</v>
      </c>
      <c r="P848" s="4">
        <v>0</v>
      </c>
      <c r="Q848" s="4">
        <v>0</v>
      </c>
      <c r="R848" s="4">
        <v>0</v>
      </c>
      <c r="S848" s="4">
        <v>0</v>
      </c>
      <c r="T848" s="23">
        <v>4.1159999999999997</v>
      </c>
      <c r="U848" s="23">
        <v>4.1360000000000001</v>
      </c>
      <c r="V848" s="5" t="s">
        <v>3432</v>
      </c>
      <c r="W848" s="4">
        <v>29505</v>
      </c>
      <c r="X848" s="4">
        <v>160936</v>
      </c>
      <c r="Y848" s="11">
        <v>43209</v>
      </c>
      <c r="Z848" s="11">
        <v>54264</v>
      </c>
      <c r="AA848" s="2"/>
      <c r="AB848" s="63" t="s">
        <v>3840</v>
      </c>
      <c r="AC848" s="5" t="s">
        <v>9</v>
      </c>
      <c r="AD848" s="76" t="s">
        <v>143</v>
      </c>
      <c r="AE848" s="11">
        <v>44859</v>
      </c>
      <c r="AF848" s="23">
        <v>100</v>
      </c>
      <c r="AG848" s="11">
        <v>45955</v>
      </c>
      <c r="AH848" s="5" t="s">
        <v>3</v>
      </c>
      <c r="AI848" s="5" t="s">
        <v>2946</v>
      </c>
      <c r="AJ848" s="5" t="s">
        <v>928</v>
      </c>
      <c r="AK848" s="16" t="s">
        <v>3</v>
      </c>
      <c r="AL848" s="65" t="s">
        <v>3842</v>
      </c>
      <c r="AM848" s="31" t="s">
        <v>1651</v>
      </c>
    </row>
    <row r="849" spans="2:39" x14ac:dyDescent="0.25">
      <c r="B849" s="18" t="s">
        <v>1863</v>
      </c>
      <c r="C849" s="44" t="s">
        <v>1496</v>
      </c>
      <c r="D849" s="20" t="s">
        <v>1497</v>
      </c>
      <c r="E849" s="67" t="s">
        <v>3</v>
      </c>
      <c r="F849" s="51" t="s">
        <v>3</v>
      </c>
      <c r="G849" s="37" t="s">
        <v>1256</v>
      </c>
      <c r="H849" s="68" t="s">
        <v>3842</v>
      </c>
      <c r="I849" s="62" t="s">
        <v>1157</v>
      </c>
      <c r="J849" s="61" t="s">
        <v>250</v>
      </c>
      <c r="K849" s="4">
        <v>2860643</v>
      </c>
      <c r="L849" s="39">
        <v>103.998</v>
      </c>
      <c r="M849" s="4">
        <v>2956533</v>
      </c>
      <c r="N849" s="4">
        <v>2842875</v>
      </c>
      <c r="O849" s="4">
        <v>2858967</v>
      </c>
      <c r="P849" s="4">
        <v>0</v>
      </c>
      <c r="Q849" s="4">
        <v>-1675</v>
      </c>
      <c r="R849" s="4">
        <v>0</v>
      </c>
      <c r="S849" s="4">
        <v>0</v>
      </c>
      <c r="T849" s="23">
        <v>3.786</v>
      </c>
      <c r="U849" s="23">
        <v>3.6219999999999999</v>
      </c>
      <c r="V849" s="5" t="s">
        <v>3432</v>
      </c>
      <c r="W849" s="4">
        <v>21227</v>
      </c>
      <c r="X849" s="4">
        <v>31093</v>
      </c>
      <c r="Y849" s="11">
        <v>44011</v>
      </c>
      <c r="Z849" s="11">
        <v>54989</v>
      </c>
      <c r="AA849" s="2"/>
      <c r="AB849" s="63" t="s">
        <v>3840</v>
      </c>
      <c r="AC849" s="5" t="s">
        <v>9</v>
      </c>
      <c r="AD849" s="76" t="s">
        <v>1987</v>
      </c>
      <c r="AE849" s="11">
        <v>46042</v>
      </c>
      <c r="AF849" s="23">
        <v>100</v>
      </c>
      <c r="AG849" s="11">
        <v>46588</v>
      </c>
      <c r="AH849" s="5" t="s">
        <v>3</v>
      </c>
      <c r="AI849" s="5" t="s">
        <v>2592</v>
      </c>
      <c r="AJ849" s="5" t="s">
        <v>928</v>
      </c>
      <c r="AK849" s="16" t="s">
        <v>3</v>
      </c>
      <c r="AL849" s="65" t="s">
        <v>3842</v>
      </c>
      <c r="AM849" s="31" t="s">
        <v>926</v>
      </c>
    </row>
    <row r="850" spans="2:39" x14ac:dyDescent="0.25">
      <c r="B850" s="18" t="s">
        <v>4060</v>
      </c>
      <c r="C850" s="44" t="s">
        <v>1262</v>
      </c>
      <c r="D850" s="20" t="s">
        <v>1497</v>
      </c>
      <c r="E850" s="67" t="s">
        <v>3</v>
      </c>
      <c r="F850" s="51" t="s">
        <v>3</v>
      </c>
      <c r="G850" s="37" t="s">
        <v>1256</v>
      </c>
      <c r="H850" s="68" t="s">
        <v>3842</v>
      </c>
      <c r="I850" s="62" t="s">
        <v>1157</v>
      </c>
      <c r="J850" s="61" t="s">
        <v>250</v>
      </c>
      <c r="K850" s="4">
        <v>2500000</v>
      </c>
      <c r="L850" s="39">
        <v>100.726</v>
      </c>
      <c r="M850" s="4">
        <v>2518150</v>
      </c>
      <c r="N850" s="4">
        <v>2500000</v>
      </c>
      <c r="O850" s="4">
        <v>2500000</v>
      </c>
      <c r="P850" s="4">
        <v>0</v>
      </c>
      <c r="Q850" s="4">
        <v>0</v>
      </c>
      <c r="R850" s="4">
        <v>0</v>
      </c>
      <c r="S850" s="4">
        <v>0</v>
      </c>
      <c r="T850" s="23">
        <v>3.2370000000000001</v>
      </c>
      <c r="U850" s="23">
        <v>3.25</v>
      </c>
      <c r="V850" s="5" t="s">
        <v>3432</v>
      </c>
      <c r="W850" s="4">
        <v>3821</v>
      </c>
      <c r="X850" s="4">
        <v>0</v>
      </c>
      <c r="Y850" s="11">
        <v>44133</v>
      </c>
      <c r="Z850" s="11">
        <v>55173</v>
      </c>
      <c r="AA850" s="2"/>
      <c r="AB850" s="63" t="s">
        <v>643</v>
      </c>
      <c r="AC850" s="5" t="s">
        <v>3227</v>
      </c>
      <c r="AD850" s="76" t="s">
        <v>143</v>
      </c>
      <c r="AE850" s="11">
        <v>45677</v>
      </c>
      <c r="AF850" s="23">
        <v>100</v>
      </c>
      <c r="AG850" s="11">
        <v>46772</v>
      </c>
      <c r="AH850" s="5" t="s">
        <v>3</v>
      </c>
      <c r="AI850" s="5" t="s">
        <v>2592</v>
      </c>
      <c r="AJ850" s="5" t="s">
        <v>928</v>
      </c>
      <c r="AK850" s="16" t="s">
        <v>3</v>
      </c>
      <c r="AL850" s="65" t="s">
        <v>2715</v>
      </c>
      <c r="AM850" s="31" t="s">
        <v>926</v>
      </c>
    </row>
    <row r="851" spans="2:39" x14ac:dyDescent="0.25">
      <c r="B851" s="18" t="s">
        <v>769</v>
      </c>
      <c r="C851" s="44" t="s">
        <v>770</v>
      </c>
      <c r="D851" s="20" t="s">
        <v>3450</v>
      </c>
      <c r="E851" s="67" t="s">
        <v>3</v>
      </c>
      <c r="F851" s="51" t="s">
        <v>3</v>
      </c>
      <c r="G851" s="37" t="s">
        <v>1987</v>
      </c>
      <c r="H851" s="68" t="s">
        <v>3842</v>
      </c>
      <c r="I851" s="62" t="s">
        <v>10</v>
      </c>
      <c r="J851" s="61" t="s">
        <v>250</v>
      </c>
      <c r="K851" s="4">
        <v>724099</v>
      </c>
      <c r="L851" s="39">
        <v>100.193</v>
      </c>
      <c r="M851" s="4">
        <v>725619</v>
      </c>
      <c r="N851" s="4">
        <v>724219</v>
      </c>
      <c r="O851" s="4">
        <v>724201</v>
      </c>
      <c r="P851" s="4">
        <v>0</v>
      </c>
      <c r="Q851" s="4">
        <v>24</v>
      </c>
      <c r="R851" s="4">
        <v>0</v>
      </c>
      <c r="S851" s="4">
        <v>0</v>
      </c>
      <c r="T851" s="23">
        <v>3.6</v>
      </c>
      <c r="U851" s="23">
        <v>3.6230000000000002</v>
      </c>
      <c r="V851" s="5" t="s">
        <v>3432</v>
      </c>
      <c r="W851" s="4">
        <v>5504</v>
      </c>
      <c r="X851" s="4">
        <v>26072</v>
      </c>
      <c r="Y851" s="11">
        <v>42886</v>
      </c>
      <c r="Z851" s="11">
        <v>46492</v>
      </c>
      <c r="AA851" s="2"/>
      <c r="AB851" s="63" t="s">
        <v>3840</v>
      </c>
      <c r="AC851" s="5" t="s">
        <v>9</v>
      </c>
      <c r="AD851" s="76" t="s">
        <v>143</v>
      </c>
      <c r="AE851" s="9"/>
      <c r="AF851" s="23"/>
      <c r="AG851" s="11">
        <v>44392</v>
      </c>
      <c r="AH851" s="5" t="s">
        <v>3</v>
      </c>
      <c r="AI851" s="5" t="s">
        <v>152</v>
      </c>
      <c r="AJ851" s="5" t="s">
        <v>152</v>
      </c>
      <c r="AK851" s="16" t="s">
        <v>3</v>
      </c>
      <c r="AL851" s="65" t="s">
        <v>3842</v>
      </c>
      <c r="AM851" s="31" t="s">
        <v>1176</v>
      </c>
    </row>
    <row r="852" spans="2:39" x14ac:dyDescent="0.25">
      <c r="B852" s="18" t="s">
        <v>1864</v>
      </c>
      <c r="C852" s="44" t="s">
        <v>3700</v>
      </c>
      <c r="D852" s="20" t="s">
        <v>432</v>
      </c>
      <c r="E852" s="67" t="s">
        <v>3</v>
      </c>
      <c r="F852" s="51" t="s">
        <v>3</v>
      </c>
      <c r="G852" s="37" t="s">
        <v>1987</v>
      </c>
      <c r="H852" s="68" t="s">
        <v>3842</v>
      </c>
      <c r="I852" s="62" t="s">
        <v>10</v>
      </c>
      <c r="J852" s="61" t="s">
        <v>250</v>
      </c>
      <c r="K852" s="4">
        <v>1912910</v>
      </c>
      <c r="L852" s="39">
        <v>102.79300000000001</v>
      </c>
      <c r="M852" s="4">
        <v>1966658</v>
      </c>
      <c r="N852" s="4">
        <v>1913220</v>
      </c>
      <c r="O852" s="4">
        <v>1912988</v>
      </c>
      <c r="P852" s="4">
        <v>0</v>
      </c>
      <c r="Q852" s="4">
        <v>57</v>
      </c>
      <c r="R852" s="4">
        <v>0</v>
      </c>
      <c r="S852" s="4">
        <v>0</v>
      </c>
      <c r="T852" s="23">
        <v>4.2699999999999996</v>
      </c>
      <c r="U852" s="23">
        <v>4.2990000000000004</v>
      </c>
      <c r="V852" s="5" t="s">
        <v>3432</v>
      </c>
      <c r="W852" s="4">
        <v>17247</v>
      </c>
      <c r="X852" s="4">
        <v>81695</v>
      </c>
      <c r="Y852" s="11">
        <v>43434</v>
      </c>
      <c r="Z852" s="11">
        <v>48136</v>
      </c>
      <c r="AA852" s="2"/>
      <c r="AB852" s="63" t="s">
        <v>3840</v>
      </c>
      <c r="AC852" s="5" t="s">
        <v>9</v>
      </c>
      <c r="AD852" s="76" t="s">
        <v>143</v>
      </c>
      <c r="AE852" s="6"/>
      <c r="AF852" s="23"/>
      <c r="AG852" s="11">
        <v>45488</v>
      </c>
      <c r="AH852" s="5" t="s">
        <v>3</v>
      </c>
      <c r="AI852" s="5" t="s">
        <v>1263</v>
      </c>
      <c r="AJ852" s="5" t="s">
        <v>928</v>
      </c>
      <c r="AK852" s="16" t="s">
        <v>3</v>
      </c>
      <c r="AL852" s="65" t="s">
        <v>2715</v>
      </c>
      <c r="AM852" s="31" t="s">
        <v>1176</v>
      </c>
    </row>
    <row r="853" spans="2:39" x14ac:dyDescent="0.25">
      <c r="B853" s="18" t="s">
        <v>2947</v>
      </c>
      <c r="C853" s="44" t="s">
        <v>4360</v>
      </c>
      <c r="D853" s="20" t="s">
        <v>153</v>
      </c>
      <c r="E853" s="67" t="s">
        <v>3</v>
      </c>
      <c r="F853" s="51" t="s">
        <v>3</v>
      </c>
      <c r="G853" s="37" t="s">
        <v>1987</v>
      </c>
      <c r="H853" s="68" t="s">
        <v>2715</v>
      </c>
      <c r="I853" s="62" t="s">
        <v>3310</v>
      </c>
      <c r="J853" s="61" t="s">
        <v>250</v>
      </c>
      <c r="K853" s="4">
        <v>3999183</v>
      </c>
      <c r="L853" s="39">
        <v>103.705</v>
      </c>
      <c r="M853" s="4">
        <v>4148187</v>
      </c>
      <c r="N853" s="4">
        <v>4000000</v>
      </c>
      <c r="O853" s="4">
        <v>3999365</v>
      </c>
      <c r="P853" s="4">
        <v>0</v>
      </c>
      <c r="Q853" s="4">
        <v>182</v>
      </c>
      <c r="R853" s="4">
        <v>0</v>
      </c>
      <c r="S853" s="4">
        <v>0</v>
      </c>
      <c r="T853" s="23">
        <v>1.86</v>
      </c>
      <c r="U853" s="23">
        <v>1.873</v>
      </c>
      <c r="V853" s="5" t="s">
        <v>415</v>
      </c>
      <c r="W853" s="4">
        <v>2273</v>
      </c>
      <c r="X853" s="4">
        <v>62413</v>
      </c>
      <c r="Y853" s="11">
        <v>43872</v>
      </c>
      <c r="Z853" s="11">
        <v>46013</v>
      </c>
      <c r="AA853" s="2"/>
      <c r="AB853" s="63" t="s">
        <v>3840</v>
      </c>
      <c r="AC853" s="5" t="s">
        <v>9</v>
      </c>
      <c r="AD853" s="76" t="s">
        <v>1987</v>
      </c>
      <c r="AE853" s="9"/>
      <c r="AF853" s="23"/>
      <c r="AG853" s="11">
        <v>45311</v>
      </c>
      <c r="AH853" s="5" t="s">
        <v>3</v>
      </c>
      <c r="AI853" s="5" t="s">
        <v>2340</v>
      </c>
      <c r="AJ853" s="5" t="s">
        <v>928</v>
      </c>
      <c r="AK853" s="16" t="s">
        <v>3</v>
      </c>
      <c r="AL853" s="65" t="s">
        <v>3842</v>
      </c>
      <c r="AM853" s="31" t="s">
        <v>2217</v>
      </c>
    </row>
    <row r="854" spans="2:39" x14ac:dyDescent="0.25">
      <c r="B854" s="18" t="s">
        <v>4061</v>
      </c>
      <c r="C854" s="44" t="s">
        <v>4361</v>
      </c>
      <c r="D854" s="20" t="s">
        <v>3701</v>
      </c>
      <c r="E854" s="67" t="s">
        <v>3</v>
      </c>
      <c r="F854" s="51" t="s">
        <v>3</v>
      </c>
      <c r="G854" s="37" t="s">
        <v>1987</v>
      </c>
      <c r="H854" s="68" t="s">
        <v>2715</v>
      </c>
      <c r="I854" s="62" t="s">
        <v>1157</v>
      </c>
      <c r="J854" s="61" t="s">
        <v>250</v>
      </c>
      <c r="K854" s="4">
        <v>3998438</v>
      </c>
      <c r="L854" s="39">
        <v>106.491</v>
      </c>
      <c r="M854" s="4">
        <v>4259638</v>
      </c>
      <c r="N854" s="4">
        <v>4000000</v>
      </c>
      <c r="O854" s="4">
        <v>3998786</v>
      </c>
      <c r="P854" s="4">
        <v>0</v>
      </c>
      <c r="Q854" s="4">
        <v>151</v>
      </c>
      <c r="R854" s="4">
        <v>0</v>
      </c>
      <c r="S854" s="4">
        <v>0</v>
      </c>
      <c r="T854" s="23">
        <v>3.61</v>
      </c>
      <c r="U854" s="23">
        <v>3.6419999999999999</v>
      </c>
      <c r="V854" s="5" t="s">
        <v>415</v>
      </c>
      <c r="W854" s="4">
        <v>6418</v>
      </c>
      <c r="X854" s="4">
        <v>144400</v>
      </c>
      <c r="Y854" s="11">
        <v>43298</v>
      </c>
      <c r="Z854" s="11">
        <v>47498</v>
      </c>
      <c r="AA854" s="2"/>
      <c r="AB854" s="63" t="s">
        <v>3840</v>
      </c>
      <c r="AC854" s="5" t="s">
        <v>9</v>
      </c>
      <c r="AD854" s="76" t="s">
        <v>1987</v>
      </c>
      <c r="AE854" s="9"/>
      <c r="AF854" s="23"/>
      <c r="AG854" s="11">
        <v>45122</v>
      </c>
      <c r="AH854" s="5" t="s">
        <v>3</v>
      </c>
      <c r="AI854" s="5" t="s">
        <v>3228</v>
      </c>
      <c r="AJ854" s="5" t="s">
        <v>928</v>
      </c>
      <c r="AK854" s="16" t="s">
        <v>3</v>
      </c>
      <c r="AL854" s="65" t="s">
        <v>929</v>
      </c>
      <c r="AM854" s="31" t="s">
        <v>1631</v>
      </c>
    </row>
    <row r="855" spans="2:39" x14ac:dyDescent="0.25">
      <c r="B855" s="18" t="s">
        <v>771</v>
      </c>
      <c r="C855" s="44" t="s">
        <v>2341</v>
      </c>
      <c r="D855" s="20" t="s">
        <v>3701</v>
      </c>
      <c r="E855" s="67" t="s">
        <v>3</v>
      </c>
      <c r="F855" s="51" t="s">
        <v>3</v>
      </c>
      <c r="G855" s="37" t="s">
        <v>1987</v>
      </c>
      <c r="H855" s="68" t="s">
        <v>2715</v>
      </c>
      <c r="I855" s="62" t="s">
        <v>252</v>
      </c>
      <c r="J855" s="61" t="s">
        <v>250</v>
      </c>
      <c r="K855" s="4">
        <v>5998288</v>
      </c>
      <c r="L855" s="39">
        <v>105.506</v>
      </c>
      <c r="M855" s="4">
        <v>6330389</v>
      </c>
      <c r="N855" s="4">
        <v>6000000</v>
      </c>
      <c r="O855" s="4">
        <v>5998491</v>
      </c>
      <c r="P855" s="4">
        <v>0</v>
      </c>
      <c r="Q855" s="4">
        <v>93</v>
      </c>
      <c r="R855" s="4">
        <v>0</v>
      </c>
      <c r="S855" s="4">
        <v>0</v>
      </c>
      <c r="T855" s="23">
        <v>3.76</v>
      </c>
      <c r="U855" s="23">
        <v>3.7919999999999998</v>
      </c>
      <c r="V855" s="5" t="s">
        <v>415</v>
      </c>
      <c r="W855" s="4">
        <v>10027</v>
      </c>
      <c r="X855" s="4">
        <v>225600</v>
      </c>
      <c r="Y855" s="11">
        <v>43298</v>
      </c>
      <c r="Z855" s="11">
        <v>47498</v>
      </c>
      <c r="AA855" s="2"/>
      <c r="AB855" s="63" t="s">
        <v>3840</v>
      </c>
      <c r="AC855" s="5" t="s">
        <v>9</v>
      </c>
      <c r="AD855" s="76" t="s">
        <v>1987</v>
      </c>
      <c r="AE855" s="6"/>
      <c r="AF855" s="23"/>
      <c r="AG855" s="11">
        <v>45122</v>
      </c>
      <c r="AH855" s="5" t="s">
        <v>3</v>
      </c>
      <c r="AI855" s="5" t="s">
        <v>3228</v>
      </c>
      <c r="AJ855" s="5" t="s">
        <v>928</v>
      </c>
      <c r="AK855" s="16" t="s">
        <v>3</v>
      </c>
      <c r="AL855" s="65" t="s">
        <v>929</v>
      </c>
      <c r="AM855" s="31" t="s">
        <v>898</v>
      </c>
    </row>
    <row r="856" spans="2:39" x14ac:dyDescent="0.25">
      <c r="B856" s="18" t="s">
        <v>1865</v>
      </c>
      <c r="C856" s="44" t="s">
        <v>4062</v>
      </c>
      <c r="D856" s="20" t="s">
        <v>1866</v>
      </c>
      <c r="E856" s="67" t="s">
        <v>3</v>
      </c>
      <c r="F856" s="51" t="s">
        <v>3</v>
      </c>
      <c r="G856" s="37" t="s">
        <v>1256</v>
      </c>
      <c r="H856" s="68" t="s">
        <v>2715</v>
      </c>
      <c r="I856" s="62" t="s">
        <v>3310</v>
      </c>
      <c r="J856" s="61" t="s">
        <v>250</v>
      </c>
      <c r="K856" s="4">
        <v>5849070</v>
      </c>
      <c r="L856" s="39">
        <v>101.167</v>
      </c>
      <c r="M856" s="4">
        <v>5918293</v>
      </c>
      <c r="N856" s="4">
        <v>5850000</v>
      </c>
      <c r="O856" s="4">
        <v>5849539</v>
      </c>
      <c r="P856" s="4">
        <v>0</v>
      </c>
      <c r="Q856" s="4">
        <v>158</v>
      </c>
      <c r="R856" s="4">
        <v>0</v>
      </c>
      <c r="S856" s="4">
        <v>0</v>
      </c>
      <c r="T856" s="23">
        <v>2.5</v>
      </c>
      <c r="U856" s="23">
        <v>2.516</v>
      </c>
      <c r="V856" s="5" t="s">
        <v>415</v>
      </c>
      <c r="W856" s="4">
        <v>6500</v>
      </c>
      <c r="X856" s="4">
        <v>146250</v>
      </c>
      <c r="Y856" s="11">
        <v>43053</v>
      </c>
      <c r="Z856" s="11">
        <v>45427</v>
      </c>
      <c r="AA856" s="2"/>
      <c r="AB856" s="63" t="s">
        <v>3840</v>
      </c>
      <c r="AC856" s="5" t="s">
        <v>4198</v>
      </c>
      <c r="AD856" s="76" t="s">
        <v>1987</v>
      </c>
      <c r="AE856" s="11">
        <v>44301</v>
      </c>
      <c r="AF856" s="23">
        <v>100</v>
      </c>
      <c r="AG856" s="11">
        <v>44849</v>
      </c>
      <c r="AH856" s="5" t="s">
        <v>3</v>
      </c>
      <c r="AI856" s="5" t="s">
        <v>3228</v>
      </c>
      <c r="AJ856" s="5" t="s">
        <v>3228</v>
      </c>
      <c r="AK856" s="16" t="s">
        <v>3</v>
      </c>
      <c r="AL856" s="65" t="s">
        <v>929</v>
      </c>
      <c r="AM856" s="31" t="s">
        <v>2217</v>
      </c>
    </row>
    <row r="857" spans="2:39" x14ac:dyDescent="0.25">
      <c r="B857" s="18" t="s">
        <v>2948</v>
      </c>
      <c r="C857" s="44" t="s">
        <v>3451</v>
      </c>
      <c r="D857" s="20" t="s">
        <v>3701</v>
      </c>
      <c r="E857" s="67" t="s">
        <v>3</v>
      </c>
      <c r="F857" s="51" t="s">
        <v>3</v>
      </c>
      <c r="G857" s="37" t="s">
        <v>1256</v>
      </c>
      <c r="H857" s="68" t="s">
        <v>2715</v>
      </c>
      <c r="I857" s="62" t="s">
        <v>3310</v>
      </c>
      <c r="J857" s="61" t="s">
        <v>250</v>
      </c>
      <c r="K857" s="4">
        <v>5998058</v>
      </c>
      <c r="L857" s="39">
        <v>100.959</v>
      </c>
      <c r="M857" s="4">
        <v>6057533</v>
      </c>
      <c r="N857" s="4">
        <v>6000000</v>
      </c>
      <c r="O857" s="4">
        <v>5998144</v>
      </c>
      <c r="P857" s="4">
        <v>0</v>
      </c>
      <c r="Q857" s="4">
        <v>86</v>
      </c>
      <c r="R857" s="4">
        <v>0</v>
      </c>
      <c r="S857" s="4">
        <v>0</v>
      </c>
      <c r="T857" s="23">
        <v>1.06</v>
      </c>
      <c r="U857" s="23">
        <v>1.069</v>
      </c>
      <c r="V857" s="5" t="s">
        <v>415</v>
      </c>
      <c r="W857" s="4">
        <v>2650</v>
      </c>
      <c r="X857" s="4">
        <v>11660</v>
      </c>
      <c r="Y857" s="11">
        <v>44110</v>
      </c>
      <c r="Z857" s="11">
        <v>48684</v>
      </c>
      <c r="AA857" s="2"/>
      <c r="AB857" s="63" t="s">
        <v>3840</v>
      </c>
      <c r="AC857" s="5" t="s">
        <v>9</v>
      </c>
      <c r="AD857" s="76" t="s">
        <v>1987</v>
      </c>
      <c r="AE857" s="10">
        <v>45945</v>
      </c>
      <c r="AF857" s="23">
        <v>100</v>
      </c>
      <c r="AG857" s="11">
        <v>45946</v>
      </c>
      <c r="AH857" s="5" t="s">
        <v>3</v>
      </c>
      <c r="AI857" s="5" t="s">
        <v>3228</v>
      </c>
      <c r="AJ857" s="5" t="s">
        <v>928</v>
      </c>
      <c r="AK857" s="16" t="s">
        <v>3</v>
      </c>
      <c r="AL857" s="65" t="s">
        <v>3842</v>
      </c>
      <c r="AM857" s="31" t="s">
        <v>2217</v>
      </c>
    </row>
    <row r="858" spans="2:39" x14ac:dyDescent="0.25">
      <c r="B858" s="18" t="s">
        <v>4063</v>
      </c>
      <c r="C858" s="44" t="s">
        <v>3452</v>
      </c>
      <c r="D858" s="20" t="s">
        <v>3701</v>
      </c>
      <c r="E858" s="67" t="s">
        <v>3</v>
      </c>
      <c r="F858" s="51" t="s">
        <v>3</v>
      </c>
      <c r="G858" s="37" t="s">
        <v>1256</v>
      </c>
      <c r="H858" s="68" t="s">
        <v>2715</v>
      </c>
      <c r="I858" s="62" t="s">
        <v>1157</v>
      </c>
      <c r="J858" s="61" t="s">
        <v>250</v>
      </c>
      <c r="K858" s="4">
        <v>8998112</v>
      </c>
      <c r="L858" s="39">
        <v>100.864</v>
      </c>
      <c r="M858" s="4">
        <v>9077746</v>
      </c>
      <c r="N858" s="4">
        <v>9000000</v>
      </c>
      <c r="O858" s="4">
        <v>8998195</v>
      </c>
      <c r="P858" s="4">
        <v>0</v>
      </c>
      <c r="Q858" s="4">
        <v>83</v>
      </c>
      <c r="R858" s="4">
        <v>0</v>
      </c>
      <c r="S858" s="4">
        <v>0</v>
      </c>
      <c r="T858" s="23">
        <v>1.49</v>
      </c>
      <c r="U858" s="23">
        <v>1.4990000000000001</v>
      </c>
      <c r="V858" s="5" t="s">
        <v>415</v>
      </c>
      <c r="W858" s="4">
        <v>5588</v>
      </c>
      <c r="X858" s="4">
        <v>24585</v>
      </c>
      <c r="Y858" s="11">
        <v>44110</v>
      </c>
      <c r="Z858" s="11">
        <v>48684</v>
      </c>
      <c r="AA858" s="2"/>
      <c r="AB858" s="63" t="s">
        <v>3840</v>
      </c>
      <c r="AC858" s="5" t="s">
        <v>9</v>
      </c>
      <c r="AD858" s="76" t="s">
        <v>1987</v>
      </c>
      <c r="AE858" s="11">
        <v>45945</v>
      </c>
      <c r="AF858" s="23">
        <v>100</v>
      </c>
      <c r="AG858" s="11">
        <v>45946</v>
      </c>
      <c r="AH858" s="5" t="s">
        <v>3</v>
      </c>
      <c r="AI858" s="5" t="s">
        <v>3228</v>
      </c>
      <c r="AJ858" s="5" t="s">
        <v>928</v>
      </c>
      <c r="AK858" s="16" t="s">
        <v>3</v>
      </c>
      <c r="AL858" s="65" t="s">
        <v>929</v>
      </c>
      <c r="AM858" s="31" t="s">
        <v>1631</v>
      </c>
    </row>
    <row r="859" spans="2:39" x14ac:dyDescent="0.25">
      <c r="B859" s="18" t="s">
        <v>1069</v>
      </c>
      <c r="C859" s="44" t="s">
        <v>1498</v>
      </c>
      <c r="D859" s="20" t="s">
        <v>3701</v>
      </c>
      <c r="E859" s="67" t="s">
        <v>3</v>
      </c>
      <c r="F859" s="51" t="s">
        <v>3</v>
      </c>
      <c r="G859" s="37" t="s">
        <v>1256</v>
      </c>
      <c r="H859" s="68" t="s">
        <v>2715</v>
      </c>
      <c r="I859" s="62" t="s">
        <v>252</v>
      </c>
      <c r="J859" s="61" t="s">
        <v>250</v>
      </c>
      <c r="K859" s="4">
        <v>4999360</v>
      </c>
      <c r="L859" s="39">
        <v>100.86499999999999</v>
      </c>
      <c r="M859" s="4">
        <v>5043240</v>
      </c>
      <c r="N859" s="4">
        <v>5000000</v>
      </c>
      <c r="O859" s="4">
        <v>4999388</v>
      </c>
      <c r="P859" s="4">
        <v>0</v>
      </c>
      <c r="Q859" s="4">
        <v>28</v>
      </c>
      <c r="R859" s="4">
        <v>0</v>
      </c>
      <c r="S859" s="4">
        <v>0</v>
      </c>
      <c r="T859" s="23">
        <v>1.74</v>
      </c>
      <c r="U859" s="23">
        <v>1.7490000000000001</v>
      </c>
      <c r="V859" s="5" t="s">
        <v>415</v>
      </c>
      <c r="W859" s="4">
        <v>3625</v>
      </c>
      <c r="X859" s="4">
        <v>15950</v>
      </c>
      <c r="Y859" s="11">
        <v>44110</v>
      </c>
      <c r="Z859" s="11">
        <v>48684</v>
      </c>
      <c r="AA859" s="2"/>
      <c r="AB859" s="63" t="s">
        <v>3840</v>
      </c>
      <c r="AC859" s="5" t="s">
        <v>9</v>
      </c>
      <c r="AD859" s="76" t="s">
        <v>1987</v>
      </c>
      <c r="AE859" s="11">
        <v>45955</v>
      </c>
      <c r="AF859" s="23">
        <v>100</v>
      </c>
      <c r="AG859" s="11">
        <v>45946</v>
      </c>
      <c r="AH859" s="5" t="s">
        <v>3</v>
      </c>
      <c r="AI859" s="5" t="s">
        <v>3228</v>
      </c>
      <c r="AJ859" s="5" t="s">
        <v>928</v>
      </c>
      <c r="AK859" s="16" t="s">
        <v>3</v>
      </c>
      <c r="AL859" s="65" t="s">
        <v>929</v>
      </c>
      <c r="AM859" s="31" t="s">
        <v>898</v>
      </c>
    </row>
    <row r="860" spans="2:39" x14ac:dyDescent="0.25">
      <c r="B860" s="18" t="s">
        <v>2949</v>
      </c>
      <c r="C860" s="44" t="s">
        <v>4064</v>
      </c>
      <c r="D860" s="20" t="s">
        <v>3701</v>
      </c>
      <c r="E860" s="67" t="s">
        <v>3</v>
      </c>
      <c r="F860" s="51" t="s">
        <v>3</v>
      </c>
      <c r="G860" s="37" t="s">
        <v>1987</v>
      </c>
      <c r="H860" s="68" t="s">
        <v>2715</v>
      </c>
      <c r="I860" s="62" t="s">
        <v>1157</v>
      </c>
      <c r="J860" s="61" t="s">
        <v>250</v>
      </c>
      <c r="K860" s="4">
        <v>7998211</v>
      </c>
      <c r="L860" s="39">
        <v>108.90300000000001</v>
      </c>
      <c r="M860" s="4">
        <v>8712226</v>
      </c>
      <c r="N860" s="4">
        <v>8000000</v>
      </c>
      <c r="O860" s="4">
        <v>7998900</v>
      </c>
      <c r="P860" s="4">
        <v>0</v>
      </c>
      <c r="Q860" s="4">
        <v>252</v>
      </c>
      <c r="R860" s="4">
        <v>0</v>
      </c>
      <c r="S860" s="4">
        <v>0</v>
      </c>
      <c r="T860" s="23">
        <v>3.34</v>
      </c>
      <c r="U860" s="23">
        <v>3.367</v>
      </c>
      <c r="V860" s="5" t="s">
        <v>415</v>
      </c>
      <c r="W860" s="4">
        <v>11876</v>
      </c>
      <c r="X860" s="4">
        <v>267200</v>
      </c>
      <c r="Y860" s="11">
        <v>43123</v>
      </c>
      <c r="Z860" s="11">
        <v>48044</v>
      </c>
      <c r="AA860" s="2"/>
      <c r="AB860" s="63" t="s">
        <v>3840</v>
      </c>
      <c r="AC860" s="5" t="s">
        <v>9</v>
      </c>
      <c r="AD860" s="76" t="s">
        <v>1987</v>
      </c>
      <c r="AE860" s="9"/>
      <c r="AF860" s="23"/>
      <c r="AG860" s="11">
        <v>45672</v>
      </c>
      <c r="AH860" s="5" t="s">
        <v>3</v>
      </c>
      <c r="AI860" s="5" t="s">
        <v>3228</v>
      </c>
      <c r="AJ860" s="5" t="s">
        <v>928</v>
      </c>
      <c r="AK860" s="16" t="s">
        <v>3</v>
      </c>
      <c r="AL860" s="65" t="s">
        <v>929</v>
      </c>
      <c r="AM860" s="31" t="s">
        <v>1631</v>
      </c>
    </row>
    <row r="861" spans="2:39" x14ac:dyDescent="0.25">
      <c r="B861" s="18" t="s">
        <v>4065</v>
      </c>
      <c r="C861" s="44" t="s">
        <v>4066</v>
      </c>
      <c r="D861" s="20" t="s">
        <v>3701</v>
      </c>
      <c r="E861" s="67" t="s">
        <v>3</v>
      </c>
      <c r="F861" s="51" t="s">
        <v>3</v>
      </c>
      <c r="G861" s="37" t="s">
        <v>1987</v>
      </c>
      <c r="H861" s="68" t="s">
        <v>2715</v>
      </c>
      <c r="I861" s="62" t="s">
        <v>252</v>
      </c>
      <c r="J861" s="61" t="s">
        <v>250</v>
      </c>
      <c r="K861" s="4">
        <v>6467407</v>
      </c>
      <c r="L861" s="39">
        <v>108.102</v>
      </c>
      <c r="M861" s="4">
        <v>6992048</v>
      </c>
      <c r="N861" s="4">
        <v>6468000</v>
      </c>
      <c r="O861" s="4">
        <v>6467628</v>
      </c>
      <c r="P861" s="4">
        <v>0</v>
      </c>
      <c r="Q861" s="4">
        <v>85</v>
      </c>
      <c r="R861" s="4">
        <v>0</v>
      </c>
      <c r="S861" s="4">
        <v>0</v>
      </c>
      <c r="T861" s="23">
        <v>3.49</v>
      </c>
      <c r="U861" s="23">
        <v>3.5169999999999999</v>
      </c>
      <c r="V861" s="5" t="s">
        <v>415</v>
      </c>
      <c r="W861" s="4">
        <v>10033</v>
      </c>
      <c r="X861" s="4">
        <v>225733</v>
      </c>
      <c r="Y861" s="11">
        <v>43123</v>
      </c>
      <c r="Z861" s="11">
        <v>48044</v>
      </c>
      <c r="AA861" s="2"/>
      <c r="AB861" s="63" t="s">
        <v>3840</v>
      </c>
      <c r="AC861" s="5" t="s">
        <v>9</v>
      </c>
      <c r="AD861" s="76" t="s">
        <v>1987</v>
      </c>
      <c r="AE861" s="9"/>
      <c r="AF861" s="23"/>
      <c r="AG861" s="11">
        <v>45672</v>
      </c>
      <c r="AH861" s="5" t="s">
        <v>3</v>
      </c>
      <c r="AI861" s="5" t="s">
        <v>3228</v>
      </c>
      <c r="AJ861" s="5" t="s">
        <v>928</v>
      </c>
      <c r="AK861" s="16" t="s">
        <v>3</v>
      </c>
      <c r="AL861" s="65" t="s">
        <v>2715</v>
      </c>
      <c r="AM861" s="31" t="s">
        <v>898</v>
      </c>
    </row>
    <row r="862" spans="2:39" x14ac:dyDescent="0.25">
      <c r="B862" s="18" t="s">
        <v>772</v>
      </c>
      <c r="C862" s="44" t="s">
        <v>2593</v>
      </c>
      <c r="D862" s="20" t="s">
        <v>1866</v>
      </c>
      <c r="E862" s="67" t="s">
        <v>3</v>
      </c>
      <c r="F862" s="51" t="s">
        <v>3</v>
      </c>
      <c r="G862" s="37" t="s">
        <v>1256</v>
      </c>
      <c r="H862" s="68" t="s">
        <v>2715</v>
      </c>
      <c r="I862" s="62" t="s">
        <v>1157</v>
      </c>
      <c r="J862" s="61" t="s">
        <v>250</v>
      </c>
      <c r="K862" s="4">
        <v>5098560</v>
      </c>
      <c r="L862" s="39">
        <v>100.794</v>
      </c>
      <c r="M862" s="4">
        <v>5140501</v>
      </c>
      <c r="N862" s="4">
        <v>5100000</v>
      </c>
      <c r="O862" s="4">
        <v>5098594</v>
      </c>
      <c r="P862" s="4">
        <v>0</v>
      </c>
      <c r="Q862" s="4">
        <v>33</v>
      </c>
      <c r="R862" s="4">
        <v>0</v>
      </c>
      <c r="S862" s="4">
        <v>0</v>
      </c>
      <c r="T862" s="23">
        <v>1.04</v>
      </c>
      <c r="U862" s="23">
        <v>1.048</v>
      </c>
      <c r="V862" s="5" t="s">
        <v>415</v>
      </c>
      <c r="W862" s="4">
        <v>2357</v>
      </c>
      <c r="X862" s="4">
        <v>3683</v>
      </c>
      <c r="Y862" s="11">
        <v>44152</v>
      </c>
      <c r="Z862" s="11">
        <v>46888</v>
      </c>
      <c r="AA862" s="2"/>
      <c r="AB862" s="63" t="s">
        <v>3840</v>
      </c>
      <c r="AC862" s="5" t="s">
        <v>4198</v>
      </c>
      <c r="AD862" s="76" t="s">
        <v>1987</v>
      </c>
      <c r="AE862" s="11">
        <v>45519</v>
      </c>
      <c r="AF862" s="23">
        <v>100</v>
      </c>
      <c r="AG862" s="11">
        <v>45945</v>
      </c>
      <c r="AH862" s="5" t="s">
        <v>3</v>
      </c>
      <c r="AI862" s="5" t="s">
        <v>3228</v>
      </c>
      <c r="AJ862" s="5" t="s">
        <v>3228</v>
      </c>
      <c r="AK862" s="16" t="s">
        <v>3</v>
      </c>
      <c r="AL862" s="65" t="s">
        <v>2715</v>
      </c>
      <c r="AM862" s="31" t="s">
        <v>1631</v>
      </c>
    </row>
    <row r="863" spans="2:39" x14ac:dyDescent="0.25">
      <c r="B863" s="18" t="s">
        <v>1867</v>
      </c>
      <c r="C863" s="44" t="s">
        <v>1264</v>
      </c>
      <c r="D863" s="20" t="s">
        <v>154</v>
      </c>
      <c r="E863" s="67" t="s">
        <v>3</v>
      </c>
      <c r="F863" s="51" t="s">
        <v>3</v>
      </c>
      <c r="G863" s="37" t="s">
        <v>1987</v>
      </c>
      <c r="H863" s="68" t="s">
        <v>2715</v>
      </c>
      <c r="I863" s="62" t="s">
        <v>252</v>
      </c>
      <c r="J863" s="61" t="s">
        <v>250</v>
      </c>
      <c r="K863" s="4">
        <v>4999138</v>
      </c>
      <c r="L863" s="39">
        <v>100.35899999999999</v>
      </c>
      <c r="M863" s="4">
        <v>5017952</v>
      </c>
      <c r="N863" s="4">
        <v>5000000</v>
      </c>
      <c r="O863" s="4">
        <v>4999932</v>
      </c>
      <c r="P863" s="4">
        <v>0</v>
      </c>
      <c r="Q863" s="4">
        <v>302</v>
      </c>
      <c r="R863" s="4">
        <v>0</v>
      </c>
      <c r="S863" s="4">
        <v>0</v>
      </c>
      <c r="T863" s="23">
        <v>3.44</v>
      </c>
      <c r="U863" s="23">
        <v>3.4710000000000001</v>
      </c>
      <c r="V863" s="5" t="s">
        <v>415</v>
      </c>
      <c r="W863" s="4">
        <v>7644</v>
      </c>
      <c r="X863" s="4">
        <v>172000</v>
      </c>
      <c r="Y863" s="11">
        <v>43180</v>
      </c>
      <c r="Z863" s="11">
        <v>45000</v>
      </c>
      <c r="AA863" s="2"/>
      <c r="AB863" s="63" t="s">
        <v>3840</v>
      </c>
      <c r="AC863" s="5" t="s">
        <v>9</v>
      </c>
      <c r="AD863" s="76" t="s">
        <v>1987</v>
      </c>
      <c r="AE863" s="9"/>
      <c r="AF863" s="23"/>
      <c r="AG863" s="11">
        <v>44270</v>
      </c>
      <c r="AH863" s="5" t="s">
        <v>3</v>
      </c>
      <c r="AI863" s="5" t="s">
        <v>1265</v>
      </c>
      <c r="AJ863" s="5" t="s">
        <v>928</v>
      </c>
      <c r="AK863" s="16" t="s">
        <v>3</v>
      </c>
      <c r="AL863" s="65" t="s">
        <v>929</v>
      </c>
      <c r="AM863" s="31" t="s">
        <v>898</v>
      </c>
    </row>
    <row r="864" spans="2:39" x14ac:dyDescent="0.25">
      <c r="B864" s="18" t="s">
        <v>2950</v>
      </c>
      <c r="C864" s="44" t="s">
        <v>2951</v>
      </c>
      <c r="D864" s="20" t="s">
        <v>433</v>
      </c>
      <c r="E864" s="67" t="s">
        <v>3</v>
      </c>
      <c r="F864" s="51" t="s">
        <v>3</v>
      </c>
      <c r="G864" s="37" t="s">
        <v>3</v>
      </c>
      <c r="H864" s="68" t="s">
        <v>2715</v>
      </c>
      <c r="I864" s="62" t="s">
        <v>1157</v>
      </c>
      <c r="J864" s="61" t="s">
        <v>250</v>
      </c>
      <c r="K864" s="4">
        <v>551676</v>
      </c>
      <c r="L864" s="39">
        <v>100.46899999999999</v>
      </c>
      <c r="M864" s="4">
        <v>552580</v>
      </c>
      <c r="N864" s="4">
        <v>550000</v>
      </c>
      <c r="O864" s="4">
        <v>551635</v>
      </c>
      <c r="P864" s="4">
        <v>0</v>
      </c>
      <c r="Q864" s="4">
        <v>-41</v>
      </c>
      <c r="R864" s="4">
        <v>0</v>
      </c>
      <c r="S864" s="4">
        <v>0</v>
      </c>
      <c r="T864" s="23">
        <v>1.03</v>
      </c>
      <c r="U864" s="23">
        <v>0.91700000000000004</v>
      </c>
      <c r="V864" s="5" t="s">
        <v>415</v>
      </c>
      <c r="W864" s="4">
        <v>252</v>
      </c>
      <c r="X864" s="4">
        <v>472</v>
      </c>
      <c r="Y864" s="11">
        <v>44168</v>
      </c>
      <c r="Z864" s="11">
        <v>45884</v>
      </c>
      <c r="AA864" s="2"/>
      <c r="AB864" s="63" t="s">
        <v>3840</v>
      </c>
      <c r="AC864" s="5" t="s">
        <v>9</v>
      </c>
      <c r="AD864" s="76" t="s">
        <v>1987</v>
      </c>
      <c r="AE864" s="9"/>
      <c r="AF864" s="23"/>
      <c r="AG864" s="11">
        <v>45153</v>
      </c>
      <c r="AH864" s="5" t="s">
        <v>3</v>
      </c>
      <c r="AI864" s="5" t="s">
        <v>155</v>
      </c>
      <c r="AJ864" s="5" t="s">
        <v>928</v>
      </c>
      <c r="AK864" s="16" t="s">
        <v>3</v>
      </c>
      <c r="AL864" s="65" t="s">
        <v>2715</v>
      </c>
      <c r="AM864" s="31" t="s">
        <v>1631</v>
      </c>
    </row>
    <row r="865" spans="2:39" x14ac:dyDescent="0.25">
      <c r="B865" s="18" t="s">
        <v>4067</v>
      </c>
      <c r="C865" s="44" t="s">
        <v>4362</v>
      </c>
      <c r="D865" s="20" t="s">
        <v>433</v>
      </c>
      <c r="E865" s="67" t="s">
        <v>3</v>
      </c>
      <c r="F865" s="51" t="s">
        <v>3</v>
      </c>
      <c r="G865" s="37" t="s">
        <v>1987</v>
      </c>
      <c r="H865" s="68" t="s">
        <v>2715</v>
      </c>
      <c r="I865" s="62" t="s">
        <v>1157</v>
      </c>
      <c r="J865" s="61" t="s">
        <v>250</v>
      </c>
      <c r="K865" s="4">
        <v>5238768</v>
      </c>
      <c r="L865" s="39">
        <v>100.498</v>
      </c>
      <c r="M865" s="4">
        <v>5266072</v>
      </c>
      <c r="N865" s="4">
        <v>5240000</v>
      </c>
      <c r="O865" s="4">
        <v>5238840</v>
      </c>
      <c r="P865" s="4">
        <v>0</v>
      </c>
      <c r="Q865" s="4">
        <v>72</v>
      </c>
      <c r="R865" s="4">
        <v>0</v>
      </c>
      <c r="S865" s="4">
        <v>0</v>
      </c>
      <c r="T865" s="23">
        <v>0.96</v>
      </c>
      <c r="U865" s="23">
        <v>0.97</v>
      </c>
      <c r="V865" s="5" t="s">
        <v>415</v>
      </c>
      <c r="W865" s="4">
        <v>2236</v>
      </c>
      <c r="X865" s="4">
        <v>6987</v>
      </c>
      <c r="Y865" s="11">
        <v>44124</v>
      </c>
      <c r="Z865" s="11">
        <v>45945</v>
      </c>
      <c r="AA865" s="2"/>
      <c r="AB865" s="63" t="s">
        <v>3840</v>
      </c>
      <c r="AC865" s="5" t="s">
        <v>9</v>
      </c>
      <c r="AD865" s="76" t="s">
        <v>1987</v>
      </c>
      <c r="AE865" s="9"/>
      <c r="AF865" s="23"/>
      <c r="AG865" s="11">
        <v>45214</v>
      </c>
      <c r="AH865" s="5" t="s">
        <v>3</v>
      </c>
      <c r="AI865" s="5" t="s">
        <v>155</v>
      </c>
      <c r="AJ865" s="5" t="s">
        <v>928</v>
      </c>
      <c r="AK865" s="16" t="s">
        <v>3</v>
      </c>
      <c r="AL865" s="65" t="s">
        <v>2715</v>
      </c>
      <c r="AM865" s="31" t="s">
        <v>1631</v>
      </c>
    </row>
    <row r="866" spans="2:39" x14ac:dyDescent="0.25">
      <c r="B866" s="18" t="s">
        <v>773</v>
      </c>
      <c r="C866" s="44" t="s">
        <v>1070</v>
      </c>
      <c r="D866" s="20" t="s">
        <v>433</v>
      </c>
      <c r="E866" s="67" t="s">
        <v>3</v>
      </c>
      <c r="F866" s="51" t="s">
        <v>3</v>
      </c>
      <c r="G866" s="37" t="s">
        <v>1987</v>
      </c>
      <c r="H866" s="68" t="s">
        <v>2715</v>
      </c>
      <c r="I866" s="62" t="s">
        <v>252</v>
      </c>
      <c r="J866" s="61" t="s">
        <v>250</v>
      </c>
      <c r="K866" s="4">
        <v>5858913</v>
      </c>
      <c r="L866" s="39">
        <v>100.78</v>
      </c>
      <c r="M866" s="4">
        <v>5905717</v>
      </c>
      <c r="N866" s="4">
        <v>5860000</v>
      </c>
      <c r="O866" s="4">
        <v>5858975</v>
      </c>
      <c r="P866" s="4">
        <v>0</v>
      </c>
      <c r="Q866" s="4">
        <v>62</v>
      </c>
      <c r="R866" s="4">
        <v>0</v>
      </c>
      <c r="S866" s="4">
        <v>0</v>
      </c>
      <c r="T866" s="23">
        <v>1.31</v>
      </c>
      <c r="U866" s="23">
        <v>1.32</v>
      </c>
      <c r="V866" s="5" t="s">
        <v>415</v>
      </c>
      <c r="W866" s="4">
        <v>3412</v>
      </c>
      <c r="X866" s="4">
        <v>10662</v>
      </c>
      <c r="Y866" s="11">
        <v>44124</v>
      </c>
      <c r="Z866" s="11">
        <v>45945</v>
      </c>
      <c r="AA866" s="2"/>
      <c r="AB866" s="63" t="s">
        <v>3840</v>
      </c>
      <c r="AC866" s="5" t="s">
        <v>9</v>
      </c>
      <c r="AD866" s="76" t="s">
        <v>1987</v>
      </c>
      <c r="AE866" s="9"/>
      <c r="AF866" s="23"/>
      <c r="AG866" s="11">
        <v>45214</v>
      </c>
      <c r="AH866" s="5" t="s">
        <v>3</v>
      </c>
      <c r="AI866" s="5" t="s">
        <v>155</v>
      </c>
      <c r="AJ866" s="5" t="s">
        <v>928</v>
      </c>
      <c r="AK866" s="16" t="s">
        <v>3</v>
      </c>
      <c r="AL866" s="65" t="s">
        <v>2715</v>
      </c>
      <c r="AM866" s="31" t="s">
        <v>898</v>
      </c>
    </row>
    <row r="867" spans="2:39" x14ac:dyDescent="0.25">
      <c r="B867" s="18" t="s">
        <v>2143</v>
      </c>
      <c r="C867" s="44" t="s">
        <v>434</v>
      </c>
      <c r="D867" s="20" t="s">
        <v>1266</v>
      </c>
      <c r="E867" s="67" t="s">
        <v>3</v>
      </c>
      <c r="F867" s="51" t="s">
        <v>3</v>
      </c>
      <c r="G867" s="37" t="s">
        <v>1256</v>
      </c>
      <c r="H867" s="68" t="s">
        <v>2715</v>
      </c>
      <c r="I867" s="62" t="s">
        <v>3310</v>
      </c>
      <c r="J867" s="61" t="s">
        <v>250</v>
      </c>
      <c r="K867" s="4">
        <v>5228447</v>
      </c>
      <c r="L867" s="39">
        <v>101.071</v>
      </c>
      <c r="M867" s="4">
        <v>5286008</v>
      </c>
      <c r="N867" s="4">
        <v>5230000</v>
      </c>
      <c r="O867" s="4">
        <v>5229381</v>
      </c>
      <c r="P867" s="4">
        <v>0</v>
      </c>
      <c r="Q867" s="4">
        <v>248</v>
      </c>
      <c r="R867" s="4">
        <v>0</v>
      </c>
      <c r="S867" s="4">
        <v>0</v>
      </c>
      <c r="T867" s="23">
        <v>2.52</v>
      </c>
      <c r="U867" s="23">
        <v>2.5390000000000001</v>
      </c>
      <c r="V867" s="5" t="s">
        <v>415</v>
      </c>
      <c r="W867" s="4">
        <v>5492</v>
      </c>
      <c r="X867" s="4">
        <v>131796</v>
      </c>
      <c r="Y867" s="11">
        <v>43011</v>
      </c>
      <c r="Z867" s="11">
        <v>45001</v>
      </c>
      <c r="AA867" s="2"/>
      <c r="AB867" s="63" t="s">
        <v>3840</v>
      </c>
      <c r="AC867" s="5" t="s">
        <v>9</v>
      </c>
      <c r="AD867" s="76" t="s">
        <v>1987</v>
      </c>
      <c r="AE867" s="11">
        <v>44332</v>
      </c>
      <c r="AF867" s="23">
        <v>100</v>
      </c>
      <c r="AG867" s="11">
        <v>44667</v>
      </c>
      <c r="AH867" s="5" t="s">
        <v>3</v>
      </c>
      <c r="AI867" s="5" t="s">
        <v>435</v>
      </c>
      <c r="AJ867" s="5" t="s">
        <v>928</v>
      </c>
      <c r="AK867" s="16" t="s">
        <v>3</v>
      </c>
      <c r="AL867" s="65" t="s">
        <v>929</v>
      </c>
      <c r="AM867" s="31" t="s">
        <v>2217</v>
      </c>
    </row>
    <row r="868" spans="2:39" x14ac:dyDescent="0.25">
      <c r="B868" s="18" t="s">
        <v>3229</v>
      </c>
      <c r="C868" s="44" t="s">
        <v>3230</v>
      </c>
      <c r="D868" s="20" t="s">
        <v>2594</v>
      </c>
      <c r="E868" s="67" t="s">
        <v>3</v>
      </c>
      <c r="F868" s="51" t="s">
        <v>3</v>
      </c>
      <c r="G868" s="37" t="s">
        <v>1256</v>
      </c>
      <c r="H868" s="68" t="s">
        <v>2715</v>
      </c>
      <c r="I868" s="62" t="s">
        <v>1157</v>
      </c>
      <c r="J868" s="61" t="s">
        <v>250</v>
      </c>
      <c r="K868" s="4">
        <v>6049142</v>
      </c>
      <c r="L868" s="39">
        <v>103.366</v>
      </c>
      <c r="M868" s="4">
        <v>6253659</v>
      </c>
      <c r="N868" s="4">
        <v>6050000</v>
      </c>
      <c r="O868" s="4">
        <v>6049513</v>
      </c>
      <c r="P868" s="4">
        <v>0</v>
      </c>
      <c r="Q868" s="4">
        <v>177</v>
      </c>
      <c r="R868" s="4">
        <v>0</v>
      </c>
      <c r="S868" s="4">
        <v>0</v>
      </c>
      <c r="T868" s="23">
        <v>3.45</v>
      </c>
      <c r="U868" s="23">
        <v>3.4780000000000002</v>
      </c>
      <c r="V868" s="5" t="s">
        <v>415</v>
      </c>
      <c r="W868" s="4">
        <v>8697</v>
      </c>
      <c r="X868" s="4">
        <v>208725</v>
      </c>
      <c r="Y868" s="11">
        <v>43292</v>
      </c>
      <c r="Z868" s="11">
        <v>45338</v>
      </c>
      <c r="AA868" s="2"/>
      <c r="AB868" s="63" t="s">
        <v>3840</v>
      </c>
      <c r="AC868" s="5" t="s">
        <v>9</v>
      </c>
      <c r="AD868" s="76" t="s">
        <v>1987</v>
      </c>
      <c r="AE868" s="11">
        <v>44667</v>
      </c>
      <c r="AF868" s="23">
        <v>100</v>
      </c>
      <c r="AG868" s="11">
        <v>44973</v>
      </c>
      <c r="AH868" s="5" t="s">
        <v>3</v>
      </c>
      <c r="AI868" s="5" t="s">
        <v>435</v>
      </c>
      <c r="AJ868" s="5" t="s">
        <v>435</v>
      </c>
      <c r="AK868" s="16" t="s">
        <v>3</v>
      </c>
      <c r="AL868" s="65" t="s">
        <v>929</v>
      </c>
      <c r="AM868" s="31" t="s">
        <v>1631</v>
      </c>
    </row>
    <row r="869" spans="2:39" x14ac:dyDescent="0.25">
      <c r="B869" s="18" t="s">
        <v>4363</v>
      </c>
      <c r="C869" s="44" t="s">
        <v>2952</v>
      </c>
      <c r="D869" s="20" t="s">
        <v>2953</v>
      </c>
      <c r="E869" s="67" t="s">
        <v>3</v>
      </c>
      <c r="F869" s="51" t="s">
        <v>3</v>
      </c>
      <c r="G869" s="37" t="s">
        <v>1256</v>
      </c>
      <c r="H869" s="68" t="s">
        <v>2715</v>
      </c>
      <c r="I869" s="62" t="s">
        <v>3310</v>
      </c>
      <c r="J869" s="61" t="s">
        <v>250</v>
      </c>
      <c r="K869" s="4">
        <v>4234802</v>
      </c>
      <c r="L869" s="39">
        <v>101.527</v>
      </c>
      <c r="M869" s="4">
        <v>4314893</v>
      </c>
      <c r="N869" s="4">
        <v>4250000</v>
      </c>
      <c r="O869" s="4">
        <v>4243542</v>
      </c>
      <c r="P869" s="4">
        <v>0</v>
      </c>
      <c r="Q869" s="4">
        <v>5014</v>
      </c>
      <c r="R869" s="4">
        <v>0</v>
      </c>
      <c r="S869" s="4">
        <v>0</v>
      </c>
      <c r="T869" s="23">
        <v>2.57</v>
      </c>
      <c r="U869" s="23">
        <v>2.7090000000000001</v>
      </c>
      <c r="V869" s="5" t="s">
        <v>415</v>
      </c>
      <c r="W869" s="4">
        <v>4551</v>
      </c>
      <c r="X869" s="4">
        <v>109225</v>
      </c>
      <c r="Y869" s="11">
        <v>43551</v>
      </c>
      <c r="Z869" s="11">
        <v>45124</v>
      </c>
      <c r="AA869" s="2"/>
      <c r="AB869" s="63" t="s">
        <v>3840</v>
      </c>
      <c r="AC869" s="5" t="s">
        <v>9</v>
      </c>
      <c r="AD869" s="76" t="s">
        <v>1987</v>
      </c>
      <c r="AE869" s="11">
        <v>44424</v>
      </c>
      <c r="AF869" s="23">
        <v>100</v>
      </c>
      <c r="AG869" s="11">
        <v>44667</v>
      </c>
      <c r="AH869" s="5" t="s">
        <v>3</v>
      </c>
      <c r="AI869" s="5" t="s">
        <v>774</v>
      </c>
      <c r="AJ869" s="5" t="s">
        <v>3231</v>
      </c>
      <c r="AK869" s="16" t="s">
        <v>3</v>
      </c>
      <c r="AL869" s="65" t="s">
        <v>929</v>
      </c>
      <c r="AM869" s="31" t="s">
        <v>2217</v>
      </c>
    </row>
    <row r="870" spans="2:39" x14ac:dyDescent="0.25">
      <c r="B870" s="18" t="s">
        <v>1868</v>
      </c>
      <c r="C870" s="44" t="s">
        <v>2954</v>
      </c>
      <c r="D870" s="20" t="s">
        <v>2953</v>
      </c>
      <c r="E870" s="67" t="s">
        <v>3</v>
      </c>
      <c r="F870" s="51" t="s">
        <v>3</v>
      </c>
      <c r="G870" s="37" t="s">
        <v>1256</v>
      </c>
      <c r="H870" s="68" t="s">
        <v>2715</v>
      </c>
      <c r="I870" s="62" t="s">
        <v>3310</v>
      </c>
      <c r="J870" s="61" t="s">
        <v>250</v>
      </c>
      <c r="K870" s="4">
        <v>2899614</v>
      </c>
      <c r="L870" s="39">
        <v>101.711</v>
      </c>
      <c r="M870" s="4">
        <v>2949627</v>
      </c>
      <c r="N870" s="4">
        <v>2900000</v>
      </c>
      <c r="O870" s="4">
        <v>2899719</v>
      </c>
      <c r="P870" s="4">
        <v>0</v>
      </c>
      <c r="Q870" s="4">
        <v>37</v>
      </c>
      <c r="R870" s="4">
        <v>0</v>
      </c>
      <c r="S870" s="4">
        <v>0</v>
      </c>
      <c r="T870" s="23">
        <v>2.77</v>
      </c>
      <c r="U870" s="23">
        <v>2.7879999999999998</v>
      </c>
      <c r="V870" s="5" t="s">
        <v>415</v>
      </c>
      <c r="W870" s="4">
        <v>3347</v>
      </c>
      <c r="X870" s="4">
        <v>80330</v>
      </c>
      <c r="Y870" s="11">
        <v>43109</v>
      </c>
      <c r="Z870" s="11">
        <v>45124</v>
      </c>
      <c r="AA870" s="2"/>
      <c r="AB870" s="63" t="s">
        <v>3840</v>
      </c>
      <c r="AC870" s="5" t="s">
        <v>9</v>
      </c>
      <c r="AD870" s="76" t="s">
        <v>1987</v>
      </c>
      <c r="AE870" s="11">
        <v>44424</v>
      </c>
      <c r="AF870" s="23">
        <v>100</v>
      </c>
      <c r="AG870" s="11">
        <v>44758</v>
      </c>
      <c r="AH870" s="5" t="s">
        <v>3</v>
      </c>
      <c r="AI870" s="5" t="s">
        <v>774</v>
      </c>
      <c r="AJ870" s="5" t="s">
        <v>3231</v>
      </c>
      <c r="AK870" s="16" t="s">
        <v>3</v>
      </c>
      <c r="AL870" s="65" t="s">
        <v>929</v>
      </c>
      <c r="AM870" s="31" t="s">
        <v>2217</v>
      </c>
    </row>
    <row r="871" spans="2:39" x14ac:dyDescent="0.25">
      <c r="B871" s="18" t="s">
        <v>2955</v>
      </c>
      <c r="C871" s="44" t="s">
        <v>1071</v>
      </c>
      <c r="D871" s="20" t="s">
        <v>4364</v>
      </c>
      <c r="E871" s="67" t="s">
        <v>3</v>
      </c>
      <c r="F871" s="51" t="s">
        <v>3</v>
      </c>
      <c r="G871" s="37" t="s">
        <v>3445</v>
      </c>
      <c r="H871" s="68" t="s">
        <v>2715</v>
      </c>
      <c r="I871" s="62" t="s">
        <v>10</v>
      </c>
      <c r="J871" s="61" t="s">
        <v>250</v>
      </c>
      <c r="K871" s="4">
        <v>7998536</v>
      </c>
      <c r="L871" s="39">
        <v>100.264</v>
      </c>
      <c r="M871" s="4">
        <v>8021086</v>
      </c>
      <c r="N871" s="4">
        <v>8000000</v>
      </c>
      <c r="O871" s="4">
        <v>7998696</v>
      </c>
      <c r="P871" s="4">
        <v>0</v>
      </c>
      <c r="Q871" s="4">
        <v>160</v>
      </c>
      <c r="R871" s="4">
        <v>0</v>
      </c>
      <c r="S871" s="4">
        <v>0</v>
      </c>
      <c r="T871" s="23">
        <v>0.76</v>
      </c>
      <c r="U871" s="23">
        <v>0.76900000000000002</v>
      </c>
      <c r="V871" s="5" t="s">
        <v>415</v>
      </c>
      <c r="W871" s="4">
        <v>1858</v>
      </c>
      <c r="X871" s="4">
        <v>13680</v>
      </c>
      <c r="Y871" s="11">
        <v>44096</v>
      </c>
      <c r="Z871" s="11">
        <v>45586</v>
      </c>
      <c r="AA871" s="2"/>
      <c r="AB871" s="63" t="s">
        <v>3840</v>
      </c>
      <c r="AC871" s="5" t="s">
        <v>4198</v>
      </c>
      <c r="AD871" s="76" t="s">
        <v>1987</v>
      </c>
      <c r="AE871" s="11">
        <v>45005</v>
      </c>
      <c r="AF871" s="23">
        <v>100</v>
      </c>
      <c r="AG871" s="11">
        <v>44977</v>
      </c>
      <c r="AH871" s="5" t="s">
        <v>3</v>
      </c>
      <c r="AI871" s="5" t="s">
        <v>2956</v>
      </c>
      <c r="AJ871" s="5" t="s">
        <v>2956</v>
      </c>
      <c r="AK871" s="16" t="s">
        <v>3</v>
      </c>
      <c r="AL871" s="65" t="s">
        <v>929</v>
      </c>
      <c r="AM871" s="31" t="s">
        <v>1992</v>
      </c>
    </row>
    <row r="872" spans="2:39" x14ac:dyDescent="0.25">
      <c r="B872" s="18" t="s">
        <v>4068</v>
      </c>
      <c r="C872" s="44" t="s">
        <v>2595</v>
      </c>
      <c r="D872" s="20" t="s">
        <v>4364</v>
      </c>
      <c r="E872" s="67" t="s">
        <v>3</v>
      </c>
      <c r="F872" s="51" t="s">
        <v>3</v>
      </c>
      <c r="G872" s="37" t="s">
        <v>1256</v>
      </c>
      <c r="H872" s="68" t="s">
        <v>2715</v>
      </c>
      <c r="I872" s="62" t="s">
        <v>252</v>
      </c>
      <c r="J872" s="61" t="s">
        <v>250</v>
      </c>
      <c r="K872" s="4">
        <v>7999402</v>
      </c>
      <c r="L872" s="39">
        <v>100.431</v>
      </c>
      <c r="M872" s="4">
        <v>8034477</v>
      </c>
      <c r="N872" s="4">
        <v>8000000</v>
      </c>
      <c r="O872" s="4">
        <v>7998925</v>
      </c>
      <c r="P872" s="4">
        <v>0</v>
      </c>
      <c r="Q872" s="4">
        <v>-211</v>
      </c>
      <c r="R872" s="4">
        <v>0</v>
      </c>
      <c r="S872" s="4">
        <v>0</v>
      </c>
      <c r="T872" s="23">
        <v>3.7</v>
      </c>
      <c r="U872" s="23">
        <v>3.726</v>
      </c>
      <c r="V872" s="5" t="s">
        <v>415</v>
      </c>
      <c r="W872" s="4">
        <v>9044</v>
      </c>
      <c r="X872" s="4">
        <v>296000</v>
      </c>
      <c r="Y872" s="11">
        <v>43361</v>
      </c>
      <c r="Z872" s="11">
        <v>44762</v>
      </c>
      <c r="AA872" s="2"/>
      <c r="AB872" s="63" t="s">
        <v>3840</v>
      </c>
      <c r="AC872" s="5" t="s">
        <v>9</v>
      </c>
      <c r="AD872" s="76" t="s">
        <v>1987</v>
      </c>
      <c r="AE872" s="10">
        <v>44247</v>
      </c>
      <c r="AF872" s="23">
        <v>100</v>
      </c>
      <c r="AG872" s="11">
        <v>44275</v>
      </c>
      <c r="AH872" s="5" t="s">
        <v>3</v>
      </c>
      <c r="AI872" s="5" t="s">
        <v>2956</v>
      </c>
      <c r="AJ872" s="5" t="s">
        <v>2956</v>
      </c>
      <c r="AK872" s="16" t="s">
        <v>3</v>
      </c>
      <c r="AL872" s="65" t="s">
        <v>929</v>
      </c>
      <c r="AM872" s="31" t="s">
        <v>898</v>
      </c>
    </row>
    <row r="873" spans="2:39" x14ac:dyDescent="0.25">
      <c r="B873" s="18" t="s">
        <v>775</v>
      </c>
      <c r="C873" s="44" t="s">
        <v>1869</v>
      </c>
      <c r="D873" s="20" t="s">
        <v>2594</v>
      </c>
      <c r="E873" s="67" t="s">
        <v>3</v>
      </c>
      <c r="F873" s="51" t="s">
        <v>3</v>
      </c>
      <c r="G873" s="37" t="s">
        <v>1987</v>
      </c>
      <c r="H873" s="68" t="s">
        <v>2715</v>
      </c>
      <c r="I873" s="62" t="s">
        <v>3310</v>
      </c>
      <c r="J873" s="61" t="s">
        <v>250</v>
      </c>
      <c r="K873" s="4">
        <v>9996794</v>
      </c>
      <c r="L873" s="39">
        <v>104.625</v>
      </c>
      <c r="M873" s="4">
        <v>10462538</v>
      </c>
      <c r="N873" s="4">
        <v>10000000</v>
      </c>
      <c r="O873" s="4">
        <v>9998186</v>
      </c>
      <c r="P873" s="4">
        <v>0</v>
      </c>
      <c r="Q873" s="4">
        <v>699</v>
      </c>
      <c r="R873" s="4">
        <v>0</v>
      </c>
      <c r="S873" s="4">
        <v>0</v>
      </c>
      <c r="T873" s="23">
        <v>3.52</v>
      </c>
      <c r="U873" s="23">
        <v>3.5539999999999998</v>
      </c>
      <c r="V873" s="5" t="s">
        <v>415</v>
      </c>
      <c r="W873" s="4">
        <v>14667</v>
      </c>
      <c r="X873" s="4">
        <v>352000</v>
      </c>
      <c r="Y873" s="11">
        <v>43473</v>
      </c>
      <c r="Z873" s="11">
        <v>45551</v>
      </c>
      <c r="AA873" s="2"/>
      <c r="AB873" s="63" t="s">
        <v>3840</v>
      </c>
      <c r="AC873" s="5" t="s">
        <v>9</v>
      </c>
      <c r="AD873" s="76" t="s">
        <v>1987</v>
      </c>
      <c r="AE873" s="6"/>
      <c r="AF873" s="23"/>
      <c r="AG873" s="11">
        <v>45093</v>
      </c>
      <c r="AH873" s="5" t="s">
        <v>3</v>
      </c>
      <c r="AI873" s="5" t="s">
        <v>435</v>
      </c>
      <c r="AJ873" s="5" t="s">
        <v>435</v>
      </c>
      <c r="AK873" s="16" t="s">
        <v>3</v>
      </c>
      <c r="AL873" s="65" t="s">
        <v>929</v>
      </c>
      <c r="AM873" s="31" t="s">
        <v>2217</v>
      </c>
    </row>
    <row r="874" spans="2:39" x14ac:dyDescent="0.25">
      <c r="B874" s="18" t="s">
        <v>1870</v>
      </c>
      <c r="C874" s="44" t="s">
        <v>3232</v>
      </c>
      <c r="D874" s="20" t="s">
        <v>4364</v>
      </c>
      <c r="E874" s="67" t="s">
        <v>3</v>
      </c>
      <c r="F874" s="51" t="s">
        <v>3</v>
      </c>
      <c r="G874" s="37" t="s">
        <v>1256</v>
      </c>
      <c r="H874" s="68" t="s">
        <v>2715</v>
      </c>
      <c r="I874" s="62" t="s">
        <v>3538</v>
      </c>
      <c r="J874" s="61" t="s">
        <v>250</v>
      </c>
      <c r="K874" s="4">
        <v>4999104</v>
      </c>
      <c r="L874" s="39">
        <v>101.96</v>
      </c>
      <c r="M874" s="4">
        <v>5098007</v>
      </c>
      <c r="N874" s="4">
        <v>5000000</v>
      </c>
      <c r="O874" s="4">
        <v>4999673</v>
      </c>
      <c r="P874" s="4">
        <v>0</v>
      </c>
      <c r="Q874" s="4">
        <v>338</v>
      </c>
      <c r="R874" s="4">
        <v>0</v>
      </c>
      <c r="S874" s="4">
        <v>0</v>
      </c>
      <c r="T874" s="23">
        <v>3.12</v>
      </c>
      <c r="U874" s="23">
        <v>3.1480000000000001</v>
      </c>
      <c r="V874" s="5" t="s">
        <v>415</v>
      </c>
      <c r="W874" s="4">
        <v>4767</v>
      </c>
      <c r="X874" s="4">
        <v>156000</v>
      </c>
      <c r="Y874" s="11">
        <v>43585</v>
      </c>
      <c r="Z874" s="11">
        <v>45005</v>
      </c>
      <c r="AA874" s="2"/>
      <c r="AB874" s="63" t="s">
        <v>3840</v>
      </c>
      <c r="AC874" s="5" t="s">
        <v>9</v>
      </c>
      <c r="AD874" s="76" t="s">
        <v>1987</v>
      </c>
      <c r="AE874" s="10">
        <v>44489</v>
      </c>
      <c r="AF874" s="23">
        <v>100</v>
      </c>
      <c r="AG874" s="11">
        <v>44550</v>
      </c>
      <c r="AH874" s="5" t="s">
        <v>3</v>
      </c>
      <c r="AI874" s="5" t="s">
        <v>2956</v>
      </c>
      <c r="AJ874" s="5" t="s">
        <v>2956</v>
      </c>
      <c r="AK874" s="16" t="s">
        <v>3</v>
      </c>
      <c r="AL874" s="65" t="s">
        <v>929</v>
      </c>
      <c r="AM874" s="31" t="s">
        <v>1161</v>
      </c>
    </row>
    <row r="875" spans="2:39" x14ac:dyDescent="0.25">
      <c r="B875" s="18" t="s">
        <v>2957</v>
      </c>
      <c r="C875" s="44" t="s">
        <v>1499</v>
      </c>
      <c r="D875" s="20" t="s">
        <v>4069</v>
      </c>
      <c r="E875" s="67" t="s">
        <v>3</v>
      </c>
      <c r="F875" s="51" t="s">
        <v>3</v>
      </c>
      <c r="G875" s="37" t="s">
        <v>1256</v>
      </c>
      <c r="H875" s="68" t="s">
        <v>2715</v>
      </c>
      <c r="I875" s="62" t="s">
        <v>1157</v>
      </c>
      <c r="J875" s="61" t="s">
        <v>250</v>
      </c>
      <c r="K875" s="4">
        <v>6226678</v>
      </c>
      <c r="L875" s="39">
        <v>103.155</v>
      </c>
      <c r="M875" s="4">
        <v>6384283</v>
      </c>
      <c r="N875" s="4">
        <v>6189000</v>
      </c>
      <c r="O875" s="4">
        <v>6225827</v>
      </c>
      <c r="P875" s="4">
        <v>0</v>
      </c>
      <c r="Q875" s="4">
        <v>-851</v>
      </c>
      <c r="R875" s="4">
        <v>0</v>
      </c>
      <c r="S875" s="4">
        <v>0</v>
      </c>
      <c r="T875" s="23">
        <v>2.1800000000000002</v>
      </c>
      <c r="U875" s="23">
        <v>1.972</v>
      </c>
      <c r="V875" s="5" t="s">
        <v>415</v>
      </c>
      <c r="W875" s="4">
        <v>5622</v>
      </c>
      <c r="X875" s="4">
        <v>102985</v>
      </c>
      <c r="Y875" s="11">
        <v>44168</v>
      </c>
      <c r="Z875" s="11">
        <v>45793</v>
      </c>
      <c r="AA875" s="2"/>
      <c r="AB875" s="63" t="s">
        <v>3840</v>
      </c>
      <c r="AC875" s="5" t="s">
        <v>9</v>
      </c>
      <c r="AD875" s="76" t="s">
        <v>1987</v>
      </c>
      <c r="AE875" s="10">
        <v>45185</v>
      </c>
      <c r="AF875" s="23">
        <v>100</v>
      </c>
      <c r="AG875" s="11">
        <v>45276</v>
      </c>
      <c r="AH875" s="5" t="s">
        <v>3</v>
      </c>
      <c r="AI875" s="5" t="s">
        <v>774</v>
      </c>
      <c r="AJ875" s="5" t="s">
        <v>774</v>
      </c>
      <c r="AK875" s="16" t="s">
        <v>3</v>
      </c>
      <c r="AL875" s="65" t="s">
        <v>929</v>
      </c>
      <c r="AM875" s="31" t="s">
        <v>1631</v>
      </c>
    </row>
    <row r="876" spans="2:39" x14ac:dyDescent="0.25">
      <c r="B876" s="18" t="s">
        <v>4365</v>
      </c>
      <c r="C876" s="44" t="s">
        <v>2596</v>
      </c>
      <c r="D876" s="20" t="s">
        <v>2594</v>
      </c>
      <c r="E876" s="67" t="s">
        <v>3</v>
      </c>
      <c r="F876" s="51" t="s">
        <v>3</v>
      </c>
      <c r="G876" s="37" t="s">
        <v>1256</v>
      </c>
      <c r="H876" s="68" t="s">
        <v>2715</v>
      </c>
      <c r="I876" s="62" t="s">
        <v>3310</v>
      </c>
      <c r="J876" s="61" t="s">
        <v>250</v>
      </c>
      <c r="K876" s="4">
        <v>6249934</v>
      </c>
      <c r="L876" s="39">
        <v>100.51900000000001</v>
      </c>
      <c r="M876" s="4">
        <v>6282419</v>
      </c>
      <c r="N876" s="4">
        <v>6250000</v>
      </c>
      <c r="O876" s="4">
        <v>6249941</v>
      </c>
      <c r="P876" s="4">
        <v>0</v>
      </c>
      <c r="Q876" s="4">
        <v>8</v>
      </c>
      <c r="R876" s="4">
        <v>0</v>
      </c>
      <c r="S876" s="4">
        <v>0</v>
      </c>
      <c r="T876" s="23">
        <v>0.57999999999999996</v>
      </c>
      <c r="U876" s="23">
        <v>0.58099999999999996</v>
      </c>
      <c r="V876" s="5" t="s">
        <v>415</v>
      </c>
      <c r="W876" s="4">
        <v>1510</v>
      </c>
      <c r="X876" s="4">
        <v>11781</v>
      </c>
      <c r="Y876" s="11">
        <v>44054</v>
      </c>
      <c r="Z876" s="11">
        <v>46038</v>
      </c>
      <c r="AA876" s="2"/>
      <c r="AB876" s="63" t="s">
        <v>3840</v>
      </c>
      <c r="AC876" s="5" t="s">
        <v>4198</v>
      </c>
      <c r="AD876" s="76" t="s">
        <v>1987</v>
      </c>
      <c r="AE876" s="10">
        <v>45398</v>
      </c>
      <c r="AF876" s="23">
        <v>100</v>
      </c>
      <c r="AG876" s="11">
        <v>45276</v>
      </c>
      <c r="AH876" s="5" t="s">
        <v>3</v>
      </c>
      <c r="AI876" s="5" t="s">
        <v>435</v>
      </c>
      <c r="AJ876" s="5" t="s">
        <v>435</v>
      </c>
      <c r="AK876" s="16" t="s">
        <v>3</v>
      </c>
      <c r="AL876" s="65" t="s">
        <v>3842</v>
      </c>
      <c r="AM876" s="31" t="s">
        <v>2217</v>
      </c>
    </row>
    <row r="877" spans="2:39" x14ac:dyDescent="0.25">
      <c r="B877" s="18" t="s">
        <v>1072</v>
      </c>
      <c r="C877" s="44" t="s">
        <v>4070</v>
      </c>
      <c r="D877" s="20" t="s">
        <v>2594</v>
      </c>
      <c r="E877" s="67" t="s">
        <v>3</v>
      </c>
      <c r="F877" s="51" t="s">
        <v>3</v>
      </c>
      <c r="G877" s="37" t="s">
        <v>1256</v>
      </c>
      <c r="H877" s="68" t="s">
        <v>2715</v>
      </c>
      <c r="I877" s="62" t="s">
        <v>252</v>
      </c>
      <c r="J877" s="61" t="s">
        <v>250</v>
      </c>
      <c r="K877" s="4">
        <v>3199991</v>
      </c>
      <c r="L877" s="39">
        <v>101.33199999999999</v>
      </c>
      <c r="M877" s="4">
        <v>3242613</v>
      </c>
      <c r="N877" s="4">
        <v>3200000</v>
      </c>
      <c r="O877" s="4">
        <v>3199991</v>
      </c>
      <c r="P877" s="4">
        <v>0</v>
      </c>
      <c r="Q877" s="4">
        <v>0</v>
      </c>
      <c r="R877" s="4">
        <v>0</v>
      </c>
      <c r="S877" s="4">
        <v>0</v>
      </c>
      <c r="T877" s="23">
        <v>1.37</v>
      </c>
      <c r="U877" s="23">
        <v>1.3740000000000001</v>
      </c>
      <c r="V877" s="5" t="s">
        <v>415</v>
      </c>
      <c r="W877" s="4">
        <v>1827</v>
      </c>
      <c r="X877" s="4">
        <v>14248</v>
      </c>
      <c r="Y877" s="11">
        <v>44054</v>
      </c>
      <c r="Z877" s="11">
        <v>46038</v>
      </c>
      <c r="AA877" s="2"/>
      <c r="AB877" s="63" t="s">
        <v>3840</v>
      </c>
      <c r="AC877" s="5" t="s">
        <v>9</v>
      </c>
      <c r="AD877" s="76" t="s">
        <v>1987</v>
      </c>
      <c r="AE877" s="10">
        <v>45398</v>
      </c>
      <c r="AF877" s="23">
        <v>100</v>
      </c>
      <c r="AG877" s="11">
        <v>45398</v>
      </c>
      <c r="AH877" s="5" t="s">
        <v>3</v>
      </c>
      <c r="AI877" s="5" t="s">
        <v>435</v>
      </c>
      <c r="AJ877" s="5" t="s">
        <v>435</v>
      </c>
      <c r="AK877" s="16" t="s">
        <v>3</v>
      </c>
      <c r="AL877" s="65" t="s">
        <v>929</v>
      </c>
      <c r="AM877" s="31" t="s">
        <v>898</v>
      </c>
    </row>
    <row r="878" spans="2:39" x14ac:dyDescent="0.25">
      <c r="B878" s="18" t="s">
        <v>2144</v>
      </c>
      <c r="C878" s="44" t="s">
        <v>776</v>
      </c>
      <c r="D878" s="20" t="s">
        <v>4364</v>
      </c>
      <c r="E878" s="67" t="s">
        <v>3</v>
      </c>
      <c r="F878" s="51" t="s">
        <v>3</v>
      </c>
      <c r="G878" s="37" t="s">
        <v>1256</v>
      </c>
      <c r="H878" s="68" t="s">
        <v>2715</v>
      </c>
      <c r="I878" s="62" t="s">
        <v>252</v>
      </c>
      <c r="J878" s="61" t="s">
        <v>250</v>
      </c>
      <c r="K878" s="4">
        <v>5499567</v>
      </c>
      <c r="L878" s="39">
        <v>101.711</v>
      </c>
      <c r="M878" s="4">
        <v>5594078</v>
      </c>
      <c r="N878" s="4">
        <v>5500000</v>
      </c>
      <c r="O878" s="4">
        <v>5499605</v>
      </c>
      <c r="P878" s="4">
        <v>0</v>
      </c>
      <c r="Q878" s="4">
        <v>38</v>
      </c>
      <c r="R878" s="4">
        <v>0</v>
      </c>
      <c r="S878" s="4">
        <v>0</v>
      </c>
      <c r="T878" s="23">
        <v>2.04</v>
      </c>
      <c r="U878" s="23">
        <v>2.0499999999999998</v>
      </c>
      <c r="V878" s="5" t="s">
        <v>415</v>
      </c>
      <c r="W878" s="4">
        <v>3428</v>
      </c>
      <c r="X878" s="4">
        <v>93812</v>
      </c>
      <c r="Y878" s="11">
        <v>43871</v>
      </c>
      <c r="Z878" s="11">
        <v>45280</v>
      </c>
      <c r="AA878" s="2"/>
      <c r="AB878" s="63" t="s">
        <v>3840</v>
      </c>
      <c r="AC878" s="5" t="s">
        <v>4198</v>
      </c>
      <c r="AD878" s="76" t="s">
        <v>1987</v>
      </c>
      <c r="AE878" s="11">
        <v>44762</v>
      </c>
      <c r="AF878" s="23">
        <v>100</v>
      </c>
      <c r="AG878" s="11">
        <v>44824</v>
      </c>
      <c r="AH878" s="5" t="s">
        <v>3</v>
      </c>
      <c r="AI878" s="5" t="s">
        <v>2956</v>
      </c>
      <c r="AJ878" s="5" t="s">
        <v>2956</v>
      </c>
      <c r="AK878" s="16" t="s">
        <v>3</v>
      </c>
      <c r="AL878" s="65" t="s">
        <v>929</v>
      </c>
      <c r="AM878" s="31" t="s">
        <v>898</v>
      </c>
    </row>
    <row r="879" spans="2:39" x14ac:dyDescent="0.25">
      <c r="B879" s="18" t="s">
        <v>3233</v>
      </c>
      <c r="C879" s="44" t="s">
        <v>2597</v>
      </c>
      <c r="D879" s="20" t="s">
        <v>4364</v>
      </c>
      <c r="E879" s="67" t="s">
        <v>3</v>
      </c>
      <c r="F879" s="51" t="s">
        <v>3</v>
      </c>
      <c r="G879" s="37" t="s">
        <v>1256</v>
      </c>
      <c r="H879" s="68" t="s">
        <v>2715</v>
      </c>
      <c r="I879" s="62" t="s">
        <v>252</v>
      </c>
      <c r="J879" s="61" t="s">
        <v>250</v>
      </c>
      <c r="K879" s="4">
        <v>4329720</v>
      </c>
      <c r="L879" s="39">
        <v>104.501</v>
      </c>
      <c r="M879" s="4">
        <v>4403672</v>
      </c>
      <c r="N879" s="4">
        <v>4214000</v>
      </c>
      <c r="O879" s="4">
        <v>4310856</v>
      </c>
      <c r="P879" s="4">
        <v>0</v>
      </c>
      <c r="Q879" s="4">
        <v>-18864</v>
      </c>
      <c r="R879" s="4">
        <v>0</v>
      </c>
      <c r="S879" s="4">
        <v>0</v>
      </c>
      <c r="T879" s="23">
        <v>3.21</v>
      </c>
      <c r="U879" s="23">
        <v>2.1379999999999999</v>
      </c>
      <c r="V879" s="5" t="s">
        <v>415</v>
      </c>
      <c r="W879" s="4">
        <v>4133</v>
      </c>
      <c r="X879" s="4">
        <v>56362</v>
      </c>
      <c r="Y879" s="11">
        <v>44034</v>
      </c>
      <c r="Z879" s="11">
        <v>45646</v>
      </c>
      <c r="AA879" s="2"/>
      <c r="AB879" s="63" t="s">
        <v>3840</v>
      </c>
      <c r="AC879" s="5" t="s">
        <v>4198</v>
      </c>
      <c r="AD879" s="76" t="s">
        <v>1987</v>
      </c>
      <c r="AE879" s="11">
        <v>45005</v>
      </c>
      <c r="AF879" s="23">
        <v>100</v>
      </c>
      <c r="AG879" s="11">
        <v>45005</v>
      </c>
      <c r="AH879" s="5" t="s">
        <v>3</v>
      </c>
      <c r="AI879" s="5" t="s">
        <v>2956</v>
      </c>
      <c r="AJ879" s="5" t="s">
        <v>2956</v>
      </c>
      <c r="AK879" s="16" t="s">
        <v>3</v>
      </c>
      <c r="AL879" s="65" t="s">
        <v>929</v>
      </c>
      <c r="AM879" s="31" t="s">
        <v>898</v>
      </c>
    </row>
    <row r="880" spans="2:39" x14ac:dyDescent="0.25">
      <c r="B880" s="18" t="s">
        <v>156</v>
      </c>
      <c r="C880" s="44" t="s">
        <v>3453</v>
      </c>
      <c r="D880" s="20" t="s">
        <v>4069</v>
      </c>
      <c r="E880" s="67" t="s">
        <v>3</v>
      </c>
      <c r="F880" s="51" t="s">
        <v>3</v>
      </c>
      <c r="G880" s="37" t="s">
        <v>1256</v>
      </c>
      <c r="H880" s="68" t="s">
        <v>2715</v>
      </c>
      <c r="I880" s="62" t="s">
        <v>252</v>
      </c>
      <c r="J880" s="61" t="s">
        <v>250</v>
      </c>
      <c r="K880" s="4">
        <v>3999751</v>
      </c>
      <c r="L880" s="39">
        <v>100.416</v>
      </c>
      <c r="M880" s="4">
        <v>4016643</v>
      </c>
      <c r="N880" s="4">
        <v>4000000</v>
      </c>
      <c r="O880" s="4">
        <v>3999763</v>
      </c>
      <c r="P880" s="4">
        <v>0</v>
      </c>
      <c r="Q880" s="4">
        <v>12</v>
      </c>
      <c r="R880" s="4">
        <v>0</v>
      </c>
      <c r="S880" s="4">
        <v>0</v>
      </c>
      <c r="T880" s="23">
        <v>1.05</v>
      </c>
      <c r="U880" s="23">
        <v>1.054</v>
      </c>
      <c r="V880" s="5" t="s">
        <v>415</v>
      </c>
      <c r="W880" s="4">
        <v>1750</v>
      </c>
      <c r="X880" s="4">
        <v>7233</v>
      </c>
      <c r="Y880" s="11">
        <v>44110</v>
      </c>
      <c r="Z880" s="11">
        <v>46160</v>
      </c>
      <c r="AA880" s="2"/>
      <c r="AB880" s="63" t="s">
        <v>3840</v>
      </c>
      <c r="AC880" s="5" t="s">
        <v>9</v>
      </c>
      <c r="AD880" s="76" t="s">
        <v>1987</v>
      </c>
      <c r="AE880" s="11">
        <v>45489</v>
      </c>
      <c r="AF880" s="23">
        <v>100</v>
      </c>
      <c r="AG880" s="11">
        <v>45732</v>
      </c>
      <c r="AH880" s="5" t="s">
        <v>3</v>
      </c>
      <c r="AI880" s="5" t="s">
        <v>774</v>
      </c>
      <c r="AJ880" s="5" t="s">
        <v>774</v>
      </c>
      <c r="AK880" s="16" t="s">
        <v>3</v>
      </c>
      <c r="AL880" s="65" t="s">
        <v>929</v>
      </c>
      <c r="AM880" s="31" t="s">
        <v>898</v>
      </c>
    </row>
    <row r="881" spans="2:39" x14ac:dyDescent="0.25">
      <c r="B881" s="18" t="s">
        <v>1500</v>
      </c>
      <c r="C881" s="44" t="s">
        <v>4071</v>
      </c>
      <c r="D881" s="20" t="s">
        <v>157</v>
      </c>
      <c r="E881" s="67" t="s">
        <v>3</v>
      </c>
      <c r="F881" s="51" t="s">
        <v>3</v>
      </c>
      <c r="G881" s="37" t="s">
        <v>1256</v>
      </c>
      <c r="H881" s="68" t="s">
        <v>2715</v>
      </c>
      <c r="I881" s="62" t="s">
        <v>10</v>
      </c>
      <c r="J881" s="61" t="s">
        <v>250</v>
      </c>
      <c r="K881" s="4">
        <v>4998627</v>
      </c>
      <c r="L881" s="39">
        <v>105.15300000000001</v>
      </c>
      <c r="M881" s="4">
        <v>5257674</v>
      </c>
      <c r="N881" s="4">
        <v>5000000</v>
      </c>
      <c r="O881" s="4">
        <v>4999207</v>
      </c>
      <c r="P881" s="4">
        <v>0</v>
      </c>
      <c r="Q881" s="4">
        <v>302</v>
      </c>
      <c r="R881" s="4">
        <v>0</v>
      </c>
      <c r="S881" s="4">
        <v>0</v>
      </c>
      <c r="T881" s="23">
        <v>3.62</v>
      </c>
      <c r="U881" s="23">
        <v>3.653</v>
      </c>
      <c r="V881" s="5" t="s">
        <v>415</v>
      </c>
      <c r="W881" s="4">
        <v>7542</v>
      </c>
      <c r="X881" s="4">
        <v>181000</v>
      </c>
      <c r="Y881" s="11">
        <v>43375</v>
      </c>
      <c r="Z881" s="11">
        <v>45460</v>
      </c>
      <c r="AA881" s="2"/>
      <c r="AB881" s="63" t="s">
        <v>3840</v>
      </c>
      <c r="AC881" s="5" t="s">
        <v>9</v>
      </c>
      <c r="AD881" s="76" t="s">
        <v>1987</v>
      </c>
      <c r="AE881" s="10">
        <v>44820</v>
      </c>
      <c r="AF881" s="23">
        <v>100</v>
      </c>
      <c r="AG881" s="11">
        <v>45093</v>
      </c>
      <c r="AH881" s="5" t="s">
        <v>3</v>
      </c>
      <c r="AI881" s="5" t="s">
        <v>435</v>
      </c>
      <c r="AJ881" s="5" t="s">
        <v>2342</v>
      </c>
      <c r="AK881" s="16" t="s">
        <v>3</v>
      </c>
      <c r="AL881" s="65" t="s">
        <v>929</v>
      </c>
      <c r="AM881" s="31" t="s">
        <v>1992</v>
      </c>
    </row>
    <row r="882" spans="2:39" x14ac:dyDescent="0.25">
      <c r="B882" s="18" t="s">
        <v>2598</v>
      </c>
      <c r="C882" s="44" t="s">
        <v>2958</v>
      </c>
      <c r="D882" s="20" t="s">
        <v>2959</v>
      </c>
      <c r="E882" s="67" t="s">
        <v>3</v>
      </c>
      <c r="F882" s="51" t="s">
        <v>3</v>
      </c>
      <c r="G882" s="37" t="s">
        <v>1256</v>
      </c>
      <c r="H882" s="68" t="s">
        <v>2715</v>
      </c>
      <c r="I882" s="62" t="s">
        <v>3310</v>
      </c>
      <c r="J882" s="61" t="s">
        <v>250</v>
      </c>
      <c r="K882" s="4">
        <v>4399489</v>
      </c>
      <c r="L882" s="39">
        <v>102.062</v>
      </c>
      <c r="M882" s="4">
        <v>4490746</v>
      </c>
      <c r="N882" s="4">
        <v>4400000</v>
      </c>
      <c r="O882" s="4">
        <v>4399637</v>
      </c>
      <c r="P882" s="4">
        <v>0</v>
      </c>
      <c r="Q882" s="4">
        <v>55</v>
      </c>
      <c r="R882" s="4">
        <v>0</v>
      </c>
      <c r="S882" s="4">
        <v>0</v>
      </c>
      <c r="T882" s="23">
        <v>2.99</v>
      </c>
      <c r="U882" s="23">
        <v>3.01</v>
      </c>
      <c r="V882" s="5" t="s">
        <v>415</v>
      </c>
      <c r="W882" s="4">
        <v>5847</v>
      </c>
      <c r="X882" s="4">
        <v>131560</v>
      </c>
      <c r="Y882" s="11">
        <v>43136</v>
      </c>
      <c r="Z882" s="11">
        <v>45460</v>
      </c>
      <c r="AA882" s="2"/>
      <c r="AB882" s="63" t="s">
        <v>3840</v>
      </c>
      <c r="AC882" s="5" t="s">
        <v>9</v>
      </c>
      <c r="AD882" s="76" t="s">
        <v>4350</v>
      </c>
      <c r="AE882" s="10">
        <v>44515</v>
      </c>
      <c r="AF882" s="23">
        <v>100</v>
      </c>
      <c r="AG882" s="10">
        <v>44696</v>
      </c>
      <c r="AH882" s="5" t="s">
        <v>3</v>
      </c>
      <c r="AI882" s="5" t="s">
        <v>2145</v>
      </c>
      <c r="AJ882" s="5" t="s">
        <v>1501</v>
      </c>
      <c r="AK882" s="16" t="s">
        <v>3</v>
      </c>
      <c r="AL882" s="65" t="s">
        <v>929</v>
      </c>
      <c r="AM882" s="31" t="s">
        <v>2217</v>
      </c>
    </row>
    <row r="883" spans="2:39" x14ac:dyDescent="0.25">
      <c r="B883" s="18" t="s">
        <v>3702</v>
      </c>
      <c r="C883" s="44" t="s">
        <v>2960</v>
      </c>
      <c r="D883" s="20" t="s">
        <v>3454</v>
      </c>
      <c r="E883" s="67" t="s">
        <v>3</v>
      </c>
      <c r="F883" s="51" t="s">
        <v>3</v>
      </c>
      <c r="G883" s="37" t="s">
        <v>1256</v>
      </c>
      <c r="H883" s="68" t="s">
        <v>2715</v>
      </c>
      <c r="I883" s="62" t="s">
        <v>1157</v>
      </c>
      <c r="J883" s="61" t="s">
        <v>250</v>
      </c>
      <c r="K883" s="4">
        <v>4089556</v>
      </c>
      <c r="L883" s="39">
        <v>101.825</v>
      </c>
      <c r="M883" s="4">
        <v>4174806</v>
      </c>
      <c r="N883" s="4">
        <v>4100000</v>
      </c>
      <c r="O883" s="4">
        <v>4095291</v>
      </c>
      <c r="P883" s="4">
        <v>0</v>
      </c>
      <c r="Q883" s="4">
        <v>3022</v>
      </c>
      <c r="R883" s="4">
        <v>0</v>
      </c>
      <c r="S883" s="4">
        <v>0</v>
      </c>
      <c r="T883" s="23">
        <v>3.14</v>
      </c>
      <c r="U883" s="23">
        <v>3.24</v>
      </c>
      <c r="V883" s="5" t="s">
        <v>415</v>
      </c>
      <c r="W883" s="4">
        <v>5722</v>
      </c>
      <c r="X883" s="4">
        <v>128740</v>
      </c>
      <c r="Y883" s="11">
        <v>43489</v>
      </c>
      <c r="Z883" s="11">
        <v>45824</v>
      </c>
      <c r="AA883" s="2"/>
      <c r="AB883" s="63" t="s">
        <v>3840</v>
      </c>
      <c r="AC883" s="5" t="s">
        <v>9</v>
      </c>
      <c r="AD883" s="76" t="s">
        <v>4350</v>
      </c>
      <c r="AE883" s="10">
        <v>44515</v>
      </c>
      <c r="AF883" s="23">
        <v>100</v>
      </c>
      <c r="AG883" s="10">
        <v>44757</v>
      </c>
      <c r="AH883" s="5" t="s">
        <v>3</v>
      </c>
      <c r="AI883" s="5" t="s">
        <v>2145</v>
      </c>
      <c r="AJ883" s="5" t="s">
        <v>928</v>
      </c>
      <c r="AK883" s="16" t="s">
        <v>3</v>
      </c>
      <c r="AL883" s="65" t="s">
        <v>929</v>
      </c>
      <c r="AM883" s="31" t="s">
        <v>1631</v>
      </c>
    </row>
    <row r="884" spans="2:39" x14ac:dyDescent="0.25">
      <c r="B884" s="18" t="s">
        <v>436</v>
      </c>
      <c r="C884" s="44" t="s">
        <v>4072</v>
      </c>
      <c r="D884" s="20" t="s">
        <v>3454</v>
      </c>
      <c r="E884" s="67" t="s">
        <v>3</v>
      </c>
      <c r="F884" s="51" t="s">
        <v>3</v>
      </c>
      <c r="G884" s="37" t="s">
        <v>1256</v>
      </c>
      <c r="H884" s="68" t="s">
        <v>2715</v>
      </c>
      <c r="I884" s="62" t="s">
        <v>10</v>
      </c>
      <c r="J884" s="61" t="s">
        <v>250</v>
      </c>
      <c r="K884" s="4">
        <v>7499399</v>
      </c>
      <c r="L884" s="39">
        <v>105.36799999999999</v>
      </c>
      <c r="M884" s="4">
        <v>7902568</v>
      </c>
      <c r="N884" s="4">
        <v>7500000</v>
      </c>
      <c r="O884" s="4">
        <v>7499654</v>
      </c>
      <c r="P884" s="4">
        <v>0</v>
      </c>
      <c r="Q884" s="4">
        <v>140</v>
      </c>
      <c r="R884" s="4">
        <v>0</v>
      </c>
      <c r="S884" s="4">
        <v>0</v>
      </c>
      <c r="T884" s="23">
        <v>3.37</v>
      </c>
      <c r="U884" s="23">
        <v>3.3959999999999999</v>
      </c>
      <c r="V884" s="5" t="s">
        <v>415</v>
      </c>
      <c r="W884" s="4">
        <v>11233</v>
      </c>
      <c r="X884" s="4">
        <v>252750</v>
      </c>
      <c r="Y884" s="11">
        <v>43501</v>
      </c>
      <c r="Z884" s="11">
        <v>45706</v>
      </c>
      <c r="AA884" s="2"/>
      <c r="AB884" s="63" t="s">
        <v>3840</v>
      </c>
      <c r="AC884" s="5" t="s">
        <v>9</v>
      </c>
      <c r="AD884" s="76" t="s">
        <v>4350</v>
      </c>
      <c r="AE884" s="10">
        <v>44910</v>
      </c>
      <c r="AF884" s="23">
        <v>100</v>
      </c>
      <c r="AG884" s="10">
        <v>45092</v>
      </c>
      <c r="AH884" s="5" t="s">
        <v>3</v>
      </c>
      <c r="AI884" s="5" t="s">
        <v>2145</v>
      </c>
      <c r="AJ884" s="5" t="s">
        <v>928</v>
      </c>
      <c r="AK884" s="16" t="s">
        <v>3</v>
      </c>
      <c r="AL884" s="65" t="s">
        <v>929</v>
      </c>
      <c r="AM884" s="31" t="s">
        <v>1992</v>
      </c>
    </row>
    <row r="885" spans="2:39" x14ac:dyDescent="0.25">
      <c r="B885" s="18" t="s">
        <v>1502</v>
      </c>
      <c r="C885" s="44" t="s">
        <v>2599</v>
      </c>
      <c r="D885" s="20" t="s">
        <v>3454</v>
      </c>
      <c r="E885" s="67" t="s">
        <v>3</v>
      </c>
      <c r="F885" s="51" t="s">
        <v>3</v>
      </c>
      <c r="G885" s="37" t="s">
        <v>1256</v>
      </c>
      <c r="H885" s="68" t="s">
        <v>2715</v>
      </c>
      <c r="I885" s="62" t="s">
        <v>1157</v>
      </c>
      <c r="J885" s="61" t="s">
        <v>250</v>
      </c>
      <c r="K885" s="4">
        <v>3998616</v>
      </c>
      <c r="L885" s="39">
        <v>105.55800000000001</v>
      </c>
      <c r="M885" s="4">
        <v>4222325</v>
      </c>
      <c r="N885" s="4">
        <v>4000000</v>
      </c>
      <c r="O885" s="4">
        <v>3999081</v>
      </c>
      <c r="P885" s="4">
        <v>0</v>
      </c>
      <c r="Q885" s="4">
        <v>254</v>
      </c>
      <c r="R885" s="4">
        <v>0</v>
      </c>
      <c r="S885" s="4">
        <v>0</v>
      </c>
      <c r="T885" s="23">
        <v>3.54</v>
      </c>
      <c r="U885" s="23">
        <v>3.573</v>
      </c>
      <c r="V885" s="5" t="s">
        <v>415</v>
      </c>
      <c r="W885" s="4">
        <v>6293</v>
      </c>
      <c r="X885" s="4">
        <v>141600</v>
      </c>
      <c r="Y885" s="11">
        <v>43501</v>
      </c>
      <c r="Z885" s="11">
        <v>46070</v>
      </c>
      <c r="AA885" s="2"/>
      <c r="AB885" s="63" t="s">
        <v>3840</v>
      </c>
      <c r="AC885" s="5" t="s">
        <v>9</v>
      </c>
      <c r="AD885" s="76" t="s">
        <v>4350</v>
      </c>
      <c r="AE885" s="11">
        <v>44910</v>
      </c>
      <c r="AF885" s="23">
        <v>100</v>
      </c>
      <c r="AG885" s="11">
        <v>45245</v>
      </c>
      <c r="AH885" s="5" t="s">
        <v>3</v>
      </c>
      <c r="AI885" s="5" t="s">
        <v>2145</v>
      </c>
      <c r="AJ885" s="5" t="s">
        <v>928</v>
      </c>
      <c r="AK885" s="16" t="s">
        <v>3</v>
      </c>
      <c r="AL885" s="65" t="s">
        <v>929</v>
      </c>
      <c r="AM885" s="31" t="s">
        <v>1631</v>
      </c>
    </row>
    <row r="886" spans="2:39" x14ac:dyDescent="0.25">
      <c r="B886" s="18" t="s">
        <v>2600</v>
      </c>
      <c r="C886" s="44" t="s">
        <v>2343</v>
      </c>
      <c r="D886" s="20" t="s">
        <v>3454</v>
      </c>
      <c r="E886" s="67" t="s">
        <v>3</v>
      </c>
      <c r="F886" s="51" t="s">
        <v>3</v>
      </c>
      <c r="G886" s="37" t="s">
        <v>1256</v>
      </c>
      <c r="H886" s="68" t="s">
        <v>2715</v>
      </c>
      <c r="I886" s="62" t="s">
        <v>1157</v>
      </c>
      <c r="J886" s="61" t="s">
        <v>250</v>
      </c>
      <c r="K886" s="4">
        <v>7575983</v>
      </c>
      <c r="L886" s="39">
        <v>103.783</v>
      </c>
      <c r="M886" s="4">
        <v>8010980</v>
      </c>
      <c r="N886" s="4">
        <v>7719000</v>
      </c>
      <c r="O886" s="4">
        <v>7597751</v>
      </c>
      <c r="P886" s="4">
        <v>0</v>
      </c>
      <c r="Q886" s="4">
        <v>21768</v>
      </c>
      <c r="R886" s="4">
        <v>0</v>
      </c>
      <c r="S886" s="4">
        <v>0</v>
      </c>
      <c r="T886" s="23">
        <v>2</v>
      </c>
      <c r="U886" s="23">
        <v>2.5059999999999998</v>
      </c>
      <c r="V886" s="5" t="s">
        <v>415</v>
      </c>
      <c r="W886" s="4">
        <v>6861</v>
      </c>
      <c r="X886" s="4">
        <v>112923</v>
      </c>
      <c r="Y886" s="11">
        <v>43964</v>
      </c>
      <c r="Z886" s="11">
        <v>46069</v>
      </c>
      <c r="AA886" s="2"/>
      <c r="AB886" s="63" t="s">
        <v>3840</v>
      </c>
      <c r="AC886" s="5" t="s">
        <v>9</v>
      </c>
      <c r="AD886" s="76" t="s">
        <v>4350</v>
      </c>
      <c r="AE886" s="11">
        <v>45275</v>
      </c>
      <c r="AF886" s="23">
        <v>100</v>
      </c>
      <c r="AG886" s="11">
        <v>45458</v>
      </c>
      <c r="AH886" s="5" t="s">
        <v>3</v>
      </c>
      <c r="AI886" s="5" t="s">
        <v>2145</v>
      </c>
      <c r="AJ886" s="5" t="s">
        <v>928</v>
      </c>
      <c r="AK886" s="16" t="s">
        <v>3</v>
      </c>
      <c r="AL886" s="65" t="s">
        <v>929</v>
      </c>
      <c r="AM886" s="31" t="s">
        <v>1631</v>
      </c>
    </row>
    <row r="887" spans="2:39" x14ac:dyDescent="0.25">
      <c r="B887" s="18" t="s">
        <v>3703</v>
      </c>
      <c r="C887" s="44" t="s">
        <v>1267</v>
      </c>
      <c r="D887" s="20" t="s">
        <v>3454</v>
      </c>
      <c r="E887" s="67" t="s">
        <v>3</v>
      </c>
      <c r="F887" s="51" t="s">
        <v>3</v>
      </c>
      <c r="G887" s="37" t="s">
        <v>1256</v>
      </c>
      <c r="H887" s="68" t="s">
        <v>2715</v>
      </c>
      <c r="I887" s="62" t="s">
        <v>252</v>
      </c>
      <c r="J887" s="61" t="s">
        <v>250</v>
      </c>
      <c r="K887" s="4">
        <v>5317908</v>
      </c>
      <c r="L887" s="39">
        <v>103.575</v>
      </c>
      <c r="M887" s="4">
        <v>5509150</v>
      </c>
      <c r="N887" s="4">
        <v>5319000</v>
      </c>
      <c r="O887" s="4">
        <v>5318081</v>
      </c>
      <c r="P887" s="4">
        <v>0</v>
      </c>
      <c r="Q887" s="4">
        <v>173</v>
      </c>
      <c r="R887" s="4">
        <v>0</v>
      </c>
      <c r="S887" s="4">
        <v>0</v>
      </c>
      <c r="T887" s="23">
        <v>2.12</v>
      </c>
      <c r="U887" s="23">
        <v>2.133</v>
      </c>
      <c r="V887" s="5" t="s">
        <v>415</v>
      </c>
      <c r="W887" s="4">
        <v>5012</v>
      </c>
      <c r="X887" s="4">
        <v>95222</v>
      </c>
      <c r="Y887" s="11">
        <v>43865</v>
      </c>
      <c r="Z887" s="11">
        <v>46433</v>
      </c>
      <c r="AA887" s="2"/>
      <c r="AB887" s="63" t="s">
        <v>3840</v>
      </c>
      <c r="AC887" s="5" t="s">
        <v>9</v>
      </c>
      <c r="AD887" s="76" t="s">
        <v>4350</v>
      </c>
      <c r="AE887" s="11">
        <v>45275</v>
      </c>
      <c r="AF887" s="23">
        <v>100</v>
      </c>
      <c r="AG887" s="11">
        <v>45611</v>
      </c>
      <c r="AH887" s="5" t="s">
        <v>3</v>
      </c>
      <c r="AI887" s="5" t="s">
        <v>2145</v>
      </c>
      <c r="AJ887" s="5" t="s">
        <v>928</v>
      </c>
      <c r="AK887" s="16" t="s">
        <v>3</v>
      </c>
      <c r="AL887" s="65" t="s">
        <v>929</v>
      </c>
      <c r="AM887" s="31" t="s">
        <v>898</v>
      </c>
    </row>
    <row r="888" spans="2:39" x14ac:dyDescent="0.25">
      <c r="B888" s="18" t="s">
        <v>437</v>
      </c>
      <c r="C888" s="44" t="s">
        <v>1268</v>
      </c>
      <c r="D888" s="20" t="s">
        <v>3455</v>
      </c>
      <c r="E888" s="67" t="s">
        <v>3</v>
      </c>
      <c r="F888" s="51" t="s">
        <v>3</v>
      </c>
      <c r="G888" s="37" t="s">
        <v>1256</v>
      </c>
      <c r="H888" s="68" t="s">
        <v>2715</v>
      </c>
      <c r="I888" s="62" t="s">
        <v>1157</v>
      </c>
      <c r="J888" s="61" t="s">
        <v>250</v>
      </c>
      <c r="K888" s="4">
        <v>6998649</v>
      </c>
      <c r="L888" s="39">
        <v>101.557</v>
      </c>
      <c r="M888" s="4">
        <v>7108974</v>
      </c>
      <c r="N888" s="4">
        <v>7000000</v>
      </c>
      <c r="O888" s="4">
        <v>6999326</v>
      </c>
      <c r="P888" s="4">
        <v>0</v>
      </c>
      <c r="Q888" s="4">
        <v>519</v>
      </c>
      <c r="R888" s="4">
        <v>0</v>
      </c>
      <c r="S888" s="4">
        <v>0</v>
      </c>
      <c r="T888" s="23">
        <v>2.3199999999999998</v>
      </c>
      <c r="U888" s="23">
        <v>2.339</v>
      </c>
      <c r="V888" s="5" t="s">
        <v>415</v>
      </c>
      <c r="W888" s="4">
        <v>4962</v>
      </c>
      <c r="X888" s="4">
        <v>162400</v>
      </c>
      <c r="Y888" s="11">
        <v>43720</v>
      </c>
      <c r="Z888" s="11">
        <v>47381</v>
      </c>
      <c r="AA888" s="2"/>
      <c r="AB888" s="63" t="s">
        <v>3840</v>
      </c>
      <c r="AC888" s="5" t="s">
        <v>9</v>
      </c>
      <c r="AD888" s="76" t="s">
        <v>4350</v>
      </c>
      <c r="AE888" s="11">
        <v>44762</v>
      </c>
      <c r="AF888" s="23">
        <v>100</v>
      </c>
      <c r="AG888" s="11">
        <v>44550</v>
      </c>
      <c r="AH888" s="5" t="s">
        <v>3</v>
      </c>
      <c r="AI888" s="5" t="s">
        <v>2961</v>
      </c>
      <c r="AJ888" s="5" t="s">
        <v>928</v>
      </c>
      <c r="AK888" s="16" t="s">
        <v>3</v>
      </c>
      <c r="AL888" s="65" t="s">
        <v>929</v>
      </c>
      <c r="AM888" s="31" t="s">
        <v>1631</v>
      </c>
    </row>
    <row r="889" spans="2:39" x14ac:dyDescent="0.25">
      <c r="B889" s="18" t="s">
        <v>1503</v>
      </c>
      <c r="C889" s="44" t="s">
        <v>3704</v>
      </c>
      <c r="D889" s="20" t="s">
        <v>3455</v>
      </c>
      <c r="E889" s="67" t="s">
        <v>3</v>
      </c>
      <c r="F889" s="51" t="s">
        <v>3</v>
      </c>
      <c r="G889" s="37" t="s">
        <v>1256</v>
      </c>
      <c r="H889" s="68" t="s">
        <v>2715</v>
      </c>
      <c r="I889" s="62" t="s">
        <v>252</v>
      </c>
      <c r="J889" s="61" t="s">
        <v>250</v>
      </c>
      <c r="K889" s="4">
        <v>999845</v>
      </c>
      <c r="L889" s="39">
        <v>101.965</v>
      </c>
      <c r="M889" s="4">
        <v>1019645</v>
      </c>
      <c r="N889" s="4">
        <v>1000000</v>
      </c>
      <c r="O889" s="4">
        <v>999908</v>
      </c>
      <c r="P889" s="4">
        <v>0</v>
      </c>
      <c r="Q889" s="4">
        <v>47</v>
      </c>
      <c r="R889" s="4">
        <v>0</v>
      </c>
      <c r="S889" s="4">
        <v>0</v>
      </c>
      <c r="T889" s="23">
        <v>2.4900000000000002</v>
      </c>
      <c r="U889" s="23">
        <v>2.508</v>
      </c>
      <c r="V889" s="5" t="s">
        <v>415</v>
      </c>
      <c r="W889" s="4">
        <v>761</v>
      </c>
      <c r="X889" s="4">
        <v>24900</v>
      </c>
      <c r="Y889" s="11">
        <v>43720</v>
      </c>
      <c r="Z889" s="11">
        <v>47381</v>
      </c>
      <c r="AA889" s="2"/>
      <c r="AB889" s="63" t="s">
        <v>3840</v>
      </c>
      <c r="AC889" s="5" t="s">
        <v>9</v>
      </c>
      <c r="AD889" s="76" t="s">
        <v>4350</v>
      </c>
      <c r="AE889" s="10">
        <v>44762</v>
      </c>
      <c r="AF889" s="23">
        <v>100</v>
      </c>
      <c r="AG889" s="11">
        <v>44701</v>
      </c>
      <c r="AH889" s="5" t="s">
        <v>3</v>
      </c>
      <c r="AI889" s="5" t="s">
        <v>2961</v>
      </c>
      <c r="AJ889" s="5" t="s">
        <v>928</v>
      </c>
      <c r="AK889" s="16" t="s">
        <v>3</v>
      </c>
      <c r="AL889" s="65" t="s">
        <v>929</v>
      </c>
      <c r="AM889" s="31" t="s">
        <v>898</v>
      </c>
    </row>
    <row r="890" spans="2:39" x14ac:dyDescent="0.25">
      <c r="B890" s="18" t="s">
        <v>3705</v>
      </c>
      <c r="C890" s="44" t="s">
        <v>1073</v>
      </c>
      <c r="D890" s="20" t="s">
        <v>1504</v>
      </c>
      <c r="E890" s="67" t="s">
        <v>3</v>
      </c>
      <c r="F890" s="51" t="s">
        <v>3</v>
      </c>
      <c r="G890" s="37" t="s">
        <v>1256</v>
      </c>
      <c r="H890" s="68" t="s">
        <v>2715</v>
      </c>
      <c r="I890" s="62" t="s">
        <v>252</v>
      </c>
      <c r="J890" s="61" t="s">
        <v>250</v>
      </c>
      <c r="K890" s="4">
        <v>3999946</v>
      </c>
      <c r="L890" s="39">
        <v>101.572</v>
      </c>
      <c r="M890" s="4">
        <v>4062894</v>
      </c>
      <c r="N890" s="4">
        <v>4000000</v>
      </c>
      <c r="O890" s="4">
        <v>3999925</v>
      </c>
      <c r="P890" s="4">
        <v>0</v>
      </c>
      <c r="Q890" s="4">
        <v>-21</v>
      </c>
      <c r="R890" s="4">
        <v>0</v>
      </c>
      <c r="S890" s="4">
        <v>0</v>
      </c>
      <c r="T890" s="23">
        <v>2.0299999999999998</v>
      </c>
      <c r="U890" s="23">
        <v>2.0379999999999998</v>
      </c>
      <c r="V890" s="5" t="s">
        <v>415</v>
      </c>
      <c r="W890" s="4">
        <v>2481</v>
      </c>
      <c r="X890" s="4">
        <v>67667</v>
      </c>
      <c r="Y890" s="11">
        <v>43874</v>
      </c>
      <c r="Z890" s="11">
        <v>47534</v>
      </c>
      <c r="AA890" s="2"/>
      <c r="AB890" s="63" t="s">
        <v>3840</v>
      </c>
      <c r="AC890" s="5" t="s">
        <v>9</v>
      </c>
      <c r="AD890" s="76" t="s">
        <v>4350</v>
      </c>
      <c r="AE890" s="10">
        <v>44977</v>
      </c>
      <c r="AF890" s="23">
        <v>100</v>
      </c>
      <c r="AG890" s="11">
        <v>44885</v>
      </c>
      <c r="AH890" s="5" t="s">
        <v>3</v>
      </c>
      <c r="AI890" s="5" t="s">
        <v>777</v>
      </c>
      <c r="AJ890" s="5" t="s">
        <v>928</v>
      </c>
      <c r="AK890" s="16" t="s">
        <v>3</v>
      </c>
      <c r="AL890" s="65" t="s">
        <v>929</v>
      </c>
      <c r="AM890" s="31" t="s">
        <v>898</v>
      </c>
    </row>
    <row r="891" spans="2:39" x14ac:dyDescent="0.25">
      <c r="B891" s="18" t="s">
        <v>438</v>
      </c>
      <c r="C891" s="44" t="s">
        <v>4073</v>
      </c>
      <c r="D891" s="20" t="s">
        <v>1504</v>
      </c>
      <c r="E891" s="67" t="s">
        <v>3</v>
      </c>
      <c r="F891" s="51" t="s">
        <v>3</v>
      </c>
      <c r="G891" s="37" t="s">
        <v>1256</v>
      </c>
      <c r="H891" s="68" t="s">
        <v>3842</v>
      </c>
      <c r="I891" s="62" t="s">
        <v>10</v>
      </c>
      <c r="J891" s="61" t="s">
        <v>250</v>
      </c>
      <c r="K891" s="4">
        <v>9997289</v>
      </c>
      <c r="L891" s="39">
        <v>100.968</v>
      </c>
      <c r="M891" s="4">
        <v>10096779</v>
      </c>
      <c r="N891" s="4">
        <v>10000000</v>
      </c>
      <c r="O891" s="4">
        <v>9997973</v>
      </c>
      <c r="P891" s="4">
        <v>0</v>
      </c>
      <c r="Q891" s="4">
        <v>684</v>
      </c>
      <c r="R891" s="4">
        <v>0</v>
      </c>
      <c r="S891" s="4">
        <v>0</v>
      </c>
      <c r="T891" s="23">
        <v>2.2599999999999998</v>
      </c>
      <c r="U891" s="23">
        <v>2.2789999999999999</v>
      </c>
      <c r="V891" s="5" t="s">
        <v>415</v>
      </c>
      <c r="W891" s="4">
        <v>6906</v>
      </c>
      <c r="X891" s="4">
        <v>188333</v>
      </c>
      <c r="Y891" s="11">
        <v>43874</v>
      </c>
      <c r="Z891" s="11">
        <v>47534</v>
      </c>
      <c r="AA891" s="2"/>
      <c r="AB891" s="63" t="s">
        <v>3840</v>
      </c>
      <c r="AC891" s="5" t="s">
        <v>9</v>
      </c>
      <c r="AD891" s="76" t="s">
        <v>4350</v>
      </c>
      <c r="AE891" s="11">
        <v>44977</v>
      </c>
      <c r="AF891" s="23">
        <v>100</v>
      </c>
      <c r="AG891" s="11">
        <v>45097</v>
      </c>
      <c r="AH891" s="5" t="s">
        <v>3</v>
      </c>
      <c r="AI891" s="5" t="s">
        <v>777</v>
      </c>
      <c r="AJ891" s="5" t="s">
        <v>928</v>
      </c>
      <c r="AK891" s="16" t="s">
        <v>3</v>
      </c>
      <c r="AL891" s="65" t="s">
        <v>929</v>
      </c>
      <c r="AM891" s="31" t="s">
        <v>1176</v>
      </c>
    </row>
    <row r="892" spans="2:39" x14ac:dyDescent="0.25">
      <c r="B892" s="18" t="s">
        <v>1505</v>
      </c>
      <c r="C892" s="44" t="s">
        <v>1074</v>
      </c>
      <c r="D892" s="20" t="s">
        <v>4074</v>
      </c>
      <c r="E892" s="67" t="s">
        <v>3</v>
      </c>
      <c r="F892" s="51" t="s">
        <v>3</v>
      </c>
      <c r="G892" s="37" t="s">
        <v>1256</v>
      </c>
      <c r="H892" s="68" t="s">
        <v>2715</v>
      </c>
      <c r="I892" s="62" t="s">
        <v>3310</v>
      </c>
      <c r="J892" s="61" t="s">
        <v>250</v>
      </c>
      <c r="K892" s="4">
        <v>6252749</v>
      </c>
      <c r="L892" s="39">
        <v>100.58</v>
      </c>
      <c r="M892" s="4">
        <v>6289944</v>
      </c>
      <c r="N892" s="4">
        <v>6253700</v>
      </c>
      <c r="O892" s="4">
        <v>6252778</v>
      </c>
      <c r="P892" s="4">
        <v>0</v>
      </c>
      <c r="Q892" s="4">
        <v>30</v>
      </c>
      <c r="R892" s="4">
        <v>0</v>
      </c>
      <c r="S892" s="4">
        <v>0</v>
      </c>
      <c r="T892" s="23">
        <v>1.39</v>
      </c>
      <c r="U892" s="23">
        <v>1.397</v>
      </c>
      <c r="V892" s="5" t="s">
        <v>415</v>
      </c>
      <c r="W892" s="4">
        <v>5312</v>
      </c>
      <c r="X892" s="4">
        <v>19800</v>
      </c>
      <c r="Y892" s="11">
        <v>44078</v>
      </c>
      <c r="Z892" s="11">
        <v>51052</v>
      </c>
      <c r="AA892" s="2"/>
      <c r="AB892" s="63" t="s">
        <v>3840</v>
      </c>
      <c r="AC892" s="5" t="s">
        <v>9</v>
      </c>
      <c r="AD892" s="76" t="s">
        <v>1987</v>
      </c>
      <c r="AE892" s="11">
        <v>46730</v>
      </c>
      <c r="AF892" s="23">
        <v>100</v>
      </c>
      <c r="AG892" s="11">
        <v>47673</v>
      </c>
      <c r="AH892" s="5" t="s">
        <v>3</v>
      </c>
      <c r="AI892" s="5" t="s">
        <v>439</v>
      </c>
      <c r="AJ892" s="5" t="s">
        <v>928</v>
      </c>
      <c r="AK892" s="16" t="s">
        <v>3</v>
      </c>
      <c r="AL892" s="65" t="s">
        <v>3842</v>
      </c>
      <c r="AM892" s="31" t="s">
        <v>2217</v>
      </c>
    </row>
    <row r="893" spans="2:39" x14ac:dyDescent="0.25">
      <c r="B893" s="18" t="s">
        <v>2601</v>
      </c>
      <c r="C893" s="44" t="s">
        <v>1075</v>
      </c>
      <c r="D893" s="20" t="s">
        <v>4074</v>
      </c>
      <c r="E893" s="67" t="s">
        <v>3</v>
      </c>
      <c r="F893" s="51" t="s">
        <v>3</v>
      </c>
      <c r="G893" s="37" t="s">
        <v>1256</v>
      </c>
      <c r="H893" s="68" t="s">
        <v>2715</v>
      </c>
      <c r="I893" s="62" t="s">
        <v>252</v>
      </c>
      <c r="J893" s="61" t="s">
        <v>250</v>
      </c>
      <c r="K893" s="4">
        <v>3704943</v>
      </c>
      <c r="L893" s="39">
        <v>101.68899999999999</v>
      </c>
      <c r="M893" s="4">
        <v>3768478</v>
      </c>
      <c r="N893" s="4">
        <v>3705896</v>
      </c>
      <c r="O893" s="4">
        <v>3704971</v>
      </c>
      <c r="P893" s="4">
        <v>0</v>
      </c>
      <c r="Q893" s="4">
        <v>28</v>
      </c>
      <c r="R893" s="4">
        <v>0</v>
      </c>
      <c r="S893" s="4">
        <v>0</v>
      </c>
      <c r="T893" s="23">
        <v>2.23</v>
      </c>
      <c r="U893" s="23">
        <v>2.246</v>
      </c>
      <c r="V893" s="5" t="s">
        <v>415</v>
      </c>
      <c r="W893" s="4">
        <v>5050</v>
      </c>
      <c r="X893" s="4">
        <v>18824</v>
      </c>
      <c r="Y893" s="11">
        <v>44078</v>
      </c>
      <c r="Z893" s="11">
        <v>51052</v>
      </c>
      <c r="AA893" s="2"/>
      <c r="AB893" s="63" t="s">
        <v>3840</v>
      </c>
      <c r="AC893" s="5" t="s">
        <v>9</v>
      </c>
      <c r="AD893" s="76" t="s">
        <v>1987</v>
      </c>
      <c r="AE893" s="11">
        <v>46730</v>
      </c>
      <c r="AF893" s="23">
        <v>100</v>
      </c>
      <c r="AG893" s="11">
        <v>47673</v>
      </c>
      <c r="AH893" s="5" t="s">
        <v>3</v>
      </c>
      <c r="AI893" s="5" t="s">
        <v>439</v>
      </c>
      <c r="AJ893" s="5" t="s">
        <v>928</v>
      </c>
      <c r="AK893" s="16" t="s">
        <v>3</v>
      </c>
      <c r="AL893" s="65" t="s">
        <v>929</v>
      </c>
      <c r="AM893" s="31" t="s">
        <v>898</v>
      </c>
    </row>
    <row r="894" spans="2:39" x14ac:dyDescent="0.25">
      <c r="B894" s="18" t="s">
        <v>3706</v>
      </c>
      <c r="C894" s="44" t="s">
        <v>778</v>
      </c>
      <c r="D894" s="20" t="s">
        <v>3707</v>
      </c>
      <c r="E894" s="67" t="s">
        <v>3</v>
      </c>
      <c r="F894" s="51" t="s">
        <v>3</v>
      </c>
      <c r="G894" s="37" t="s">
        <v>1256</v>
      </c>
      <c r="H894" s="68" t="s">
        <v>2715</v>
      </c>
      <c r="I894" s="62" t="s">
        <v>3310</v>
      </c>
      <c r="J894" s="61" t="s">
        <v>250</v>
      </c>
      <c r="K894" s="4">
        <v>2901419</v>
      </c>
      <c r="L894" s="39">
        <v>106.08199999999999</v>
      </c>
      <c r="M894" s="4">
        <v>3077941</v>
      </c>
      <c r="N894" s="4">
        <v>2901486</v>
      </c>
      <c r="O894" s="4">
        <v>2901401</v>
      </c>
      <c r="P894" s="4">
        <v>0</v>
      </c>
      <c r="Q894" s="4">
        <v>3</v>
      </c>
      <c r="R894" s="4">
        <v>0</v>
      </c>
      <c r="S894" s="4">
        <v>0</v>
      </c>
      <c r="T894" s="23">
        <v>3.54</v>
      </c>
      <c r="U894" s="23">
        <v>3.5649999999999999</v>
      </c>
      <c r="V894" s="5" t="s">
        <v>415</v>
      </c>
      <c r="W894" s="4">
        <v>1712</v>
      </c>
      <c r="X894" s="4">
        <v>102713</v>
      </c>
      <c r="Y894" s="11">
        <v>43354</v>
      </c>
      <c r="Z894" s="11">
        <v>48269</v>
      </c>
      <c r="AA894" s="2"/>
      <c r="AB894" s="63" t="s">
        <v>3840</v>
      </c>
      <c r="AC894" s="5" t="s">
        <v>9</v>
      </c>
      <c r="AD894" s="76" t="s">
        <v>1987</v>
      </c>
      <c r="AE894" s="11">
        <v>45863</v>
      </c>
      <c r="AF894" s="23">
        <v>100</v>
      </c>
      <c r="AG894" s="11">
        <v>46593</v>
      </c>
      <c r="AH894" s="5" t="s">
        <v>3</v>
      </c>
      <c r="AI894" s="5" t="s">
        <v>4075</v>
      </c>
      <c r="AJ894" s="5" t="s">
        <v>928</v>
      </c>
      <c r="AK894" s="16" t="s">
        <v>3</v>
      </c>
      <c r="AL894" s="65" t="s">
        <v>3842</v>
      </c>
      <c r="AM894" s="31" t="s">
        <v>2217</v>
      </c>
    </row>
    <row r="895" spans="2:39" x14ac:dyDescent="0.25">
      <c r="B895" s="18" t="s">
        <v>440</v>
      </c>
      <c r="C895" s="44" t="s">
        <v>3234</v>
      </c>
      <c r="D895" s="20" t="s">
        <v>3707</v>
      </c>
      <c r="E895" s="67" t="s">
        <v>3</v>
      </c>
      <c r="F895" s="51" t="s">
        <v>3</v>
      </c>
      <c r="G895" s="37" t="s">
        <v>1256</v>
      </c>
      <c r="H895" s="68" t="s">
        <v>2715</v>
      </c>
      <c r="I895" s="62" t="s">
        <v>252</v>
      </c>
      <c r="J895" s="61" t="s">
        <v>250</v>
      </c>
      <c r="K895" s="4">
        <v>3511026</v>
      </c>
      <c r="L895" s="39">
        <v>104.863</v>
      </c>
      <c r="M895" s="4">
        <v>3651103</v>
      </c>
      <c r="N895" s="4">
        <v>3481783</v>
      </c>
      <c r="O895" s="4">
        <v>3505109</v>
      </c>
      <c r="P895" s="4">
        <v>0</v>
      </c>
      <c r="Q895" s="4">
        <v>-3424</v>
      </c>
      <c r="R895" s="4">
        <v>0</v>
      </c>
      <c r="S895" s="4">
        <v>0</v>
      </c>
      <c r="T895" s="23">
        <v>3.7</v>
      </c>
      <c r="U895" s="23">
        <v>3.5110000000000001</v>
      </c>
      <c r="V895" s="5" t="s">
        <v>415</v>
      </c>
      <c r="W895" s="4">
        <v>2147</v>
      </c>
      <c r="X895" s="4">
        <v>128826</v>
      </c>
      <c r="Y895" s="11">
        <v>43551</v>
      </c>
      <c r="Z895" s="11">
        <v>48269</v>
      </c>
      <c r="AA895" s="2"/>
      <c r="AB895" s="63" t="s">
        <v>3840</v>
      </c>
      <c r="AC895" s="5" t="s">
        <v>9</v>
      </c>
      <c r="AD895" s="76" t="s">
        <v>1987</v>
      </c>
      <c r="AE895" s="10">
        <v>45863</v>
      </c>
      <c r="AF895" s="23">
        <v>100</v>
      </c>
      <c r="AG895" s="11">
        <v>46593</v>
      </c>
      <c r="AH895" s="5" t="s">
        <v>3</v>
      </c>
      <c r="AI895" s="5" t="s">
        <v>4075</v>
      </c>
      <c r="AJ895" s="5" t="s">
        <v>928</v>
      </c>
      <c r="AK895" s="16" t="s">
        <v>3</v>
      </c>
      <c r="AL895" s="65" t="s">
        <v>2715</v>
      </c>
      <c r="AM895" s="31" t="s">
        <v>898</v>
      </c>
    </row>
    <row r="896" spans="2:39" x14ac:dyDescent="0.25">
      <c r="B896" s="18" t="s">
        <v>1506</v>
      </c>
      <c r="C896" s="44" t="s">
        <v>3235</v>
      </c>
      <c r="D896" s="20" t="s">
        <v>3707</v>
      </c>
      <c r="E896" s="67" t="s">
        <v>3</v>
      </c>
      <c r="F896" s="51" t="s">
        <v>3</v>
      </c>
      <c r="G896" s="37" t="s">
        <v>1256</v>
      </c>
      <c r="H896" s="68" t="s">
        <v>3842</v>
      </c>
      <c r="I896" s="62" t="s">
        <v>10</v>
      </c>
      <c r="J896" s="61" t="s">
        <v>250</v>
      </c>
      <c r="K896" s="4">
        <v>4915289</v>
      </c>
      <c r="L896" s="39">
        <v>104.251</v>
      </c>
      <c r="M896" s="4">
        <v>5021211</v>
      </c>
      <c r="N896" s="4">
        <v>4816467</v>
      </c>
      <c r="O896" s="4">
        <v>4912827</v>
      </c>
      <c r="P896" s="4">
        <v>0</v>
      </c>
      <c r="Q896" s="4">
        <v>-2465</v>
      </c>
      <c r="R896" s="4">
        <v>0</v>
      </c>
      <c r="S896" s="4">
        <v>0</v>
      </c>
      <c r="T896" s="23">
        <v>4</v>
      </c>
      <c r="U896" s="23">
        <v>3.3889999999999998</v>
      </c>
      <c r="V896" s="5" t="s">
        <v>415</v>
      </c>
      <c r="W896" s="4">
        <v>3211</v>
      </c>
      <c r="X896" s="4">
        <v>90139</v>
      </c>
      <c r="Y896" s="11">
        <v>44131</v>
      </c>
      <c r="Z896" s="11">
        <v>48269</v>
      </c>
      <c r="AA896" s="2"/>
      <c r="AB896" s="63" t="s">
        <v>3840</v>
      </c>
      <c r="AC896" s="5" t="s">
        <v>9</v>
      </c>
      <c r="AD896" s="76" t="s">
        <v>1987</v>
      </c>
      <c r="AE896" s="10">
        <v>45863</v>
      </c>
      <c r="AF896" s="23">
        <v>100</v>
      </c>
      <c r="AG896" s="11">
        <v>46593</v>
      </c>
      <c r="AH896" s="5" t="s">
        <v>3</v>
      </c>
      <c r="AI896" s="5" t="s">
        <v>4075</v>
      </c>
      <c r="AJ896" s="5" t="s">
        <v>928</v>
      </c>
      <c r="AK896" s="16" t="s">
        <v>3</v>
      </c>
      <c r="AL896" s="65" t="s">
        <v>2715</v>
      </c>
      <c r="AM896" s="31" t="s">
        <v>1176</v>
      </c>
    </row>
    <row r="897" spans="2:39" x14ac:dyDescent="0.25">
      <c r="B897" s="18" t="s">
        <v>2602</v>
      </c>
      <c r="C897" s="44" t="s">
        <v>4076</v>
      </c>
      <c r="D897" s="20" t="s">
        <v>441</v>
      </c>
      <c r="E897" s="67" t="s">
        <v>3</v>
      </c>
      <c r="F897" s="51" t="s">
        <v>3</v>
      </c>
      <c r="G897" s="37" t="s">
        <v>1256</v>
      </c>
      <c r="H897" s="68" t="s">
        <v>2715</v>
      </c>
      <c r="I897" s="62" t="s">
        <v>3310</v>
      </c>
      <c r="J897" s="61" t="s">
        <v>250</v>
      </c>
      <c r="K897" s="4">
        <v>5787349</v>
      </c>
      <c r="L897" s="39">
        <v>103.529</v>
      </c>
      <c r="M897" s="4">
        <v>5951149</v>
      </c>
      <c r="N897" s="4">
        <v>5748286</v>
      </c>
      <c r="O897" s="4">
        <v>5785318</v>
      </c>
      <c r="P897" s="4">
        <v>0</v>
      </c>
      <c r="Q897" s="4">
        <v>-2042</v>
      </c>
      <c r="R897" s="4">
        <v>0</v>
      </c>
      <c r="S897" s="4">
        <v>0</v>
      </c>
      <c r="T897" s="23">
        <v>2.34</v>
      </c>
      <c r="U897" s="23">
        <v>2.1680000000000001</v>
      </c>
      <c r="V897" s="5" t="s">
        <v>415</v>
      </c>
      <c r="W897" s="4">
        <v>2242</v>
      </c>
      <c r="X897" s="4">
        <v>100882</v>
      </c>
      <c r="Y897" s="11">
        <v>44027</v>
      </c>
      <c r="Z897" s="11">
        <v>48785</v>
      </c>
      <c r="AA897" s="2"/>
      <c r="AB897" s="63" t="s">
        <v>3840</v>
      </c>
      <c r="AC897" s="5" t="s">
        <v>9</v>
      </c>
      <c r="AD897" s="76" t="s">
        <v>1987</v>
      </c>
      <c r="AE897" s="11">
        <v>46167</v>
      </c>
      <c r="AF897" s="23">
        <v>100</v>
      </c>
      <c r="AG897" s="11">
        <v>46837</v>
      </c>
      <c r="AH897" s="5" t="s">
        <v>3</v>
      </c>
      <c r="AI897" s="5" t="s">
        <v>4077</v>
      </c>
      <c r="AJ897" s="5" t="s">
        <v>928</v>
      </c>
      <c r="AK897" s="16" t="s">
        <v>3</v>
      </c>
      <c r="AL897" s="65" t="s">
        <v>3842</v>
      </c>
      <c r="AM897" s="31" t="s">
        <v>2217</v>
      </c>
    </row>
    <row r="898" spans="2:39" x14ac:dyDescent="0.25">
      <c r="B898" s="18" t="s">
        <v>3708</v>
      </c>
      <c r="C898" s="44" t="s">
        <v>4078</v>
      </c>
      <c r="D898" s="20" t="s">
        <v>441</v>
      </c>
      <c r="E898" s="67" t="s">
        <v>3</v>
      </c>
      <c r="F898" s="51" t="s">
        <v>3</v>
      </c>
      <c r="G898" s="37" t="s">
        <v>1256</v>
      </c>
      <c r="H898" s="68" t="s">
        <v>2715</v>
      </c>
      <c r="I898" s="62" t="s">
        <v>252</v>
      </c>
      <c r="J898" s="61" t="s">
        <v>250</v>
      </c>
      <c r="K898" s="4">
        <v>2873854</v>
      </c>
      <c r="L898" s="39">
        <v>102.586</v>
      </c>
      <c r="M898" s="4">
        <v>2948460</v>
      </c>
      <c r="N898" s="4">
        <v>2874142</v>
      </c>
      <c r="O898" s="4">
        <v>2873887</v>
      </c>
      <c r="P898" s="4">
        <v>0</v>
      </c>
      <c r="Q898" s="4">
        <v>26</v>
      </c>
      <c r="R898" s="4">
        <v>0</v>
      </c>
      <c r="S898" s="4">
        <v>0</v>
      </c>
      <c r="T898" s="23">
        <v>2.54</v>
      </c>
      <c r="U898" s="23">
        <v>2.5550000000000002</v>
      </c>
      <c r="V898" s="5" t="s">
        <v>415</v>
      </c>
      <c r="W898" s="4">
        <v>1217</v>
      </c>
      <c r="X898" s="4">
        <v>73003</v>
      </c>
      <c r="Y898" s="11">
        <v>43683</v>
      </c>
      <c r="Z898" s="11">
        <v>48785</v>
      </c>
      <c r="AA898" s="2"/>
      <c r="AB898" s="63" t="s">
        <v>3840</v>
      </c>
      <c r="AC898" s="5" t="s">
        <v>9</v>
      </c>
      <c r="AD898" s="76" t="s">
        <v>1987</v>
      </c>
      <c r="AE898" s="11">
        <v>46167</v>
      </c>
      <c r="AF898" s="23">
        <v>100</v>
      </c>
      <c r="AG898" s="11">
        <v>46837</v>
      </c>
      <c r="AH898" s="5" t="s">
        <v>3</v>
      </c>
      <c r="AI898" s="5" t="s">
        <v>4077</v>
      </c>
      <c r="AJ898" s="5" t="s">
        <v>928</v>
      </c>
      <c r="AK898" s="16" t="s">
        <v>3</v>
      </c>
      <c r="AL898" s="65" t="s">
        <v>929</v>
      </c>
      <c r="AM898" s="31" t="s">
        <v>898</v>
      </c>
    </row>
    <row r="899" spans="2:39" x14ac:dyDescent="0.25">
      <c r="B899" s="18" t="s">
        <v>779</v>
      </c>
      <c r="C899" s="44" t="s">
        <v>4079</v>
      </c>
      <c r="D899" s="20" t="s">
        <v>441</v>
      </c>
      <c r="E899" s="67" t="s">
        <v>3</v>
      </c>
      <c r="F899" s="51" t="s">
        <v>3</v>
      </c>
      <c r="G899" s="37" t="s">
        <v>1256</v>
      </c>
      <c r="H899" s="68" t="s">
        <v>3842</v>
      </c>
      <c r="I899" s="62" t="s">
        <v>10</v>
      </c>
      <c r="J899" s="61" t="s">
        <v>250</v>
      </c>
      <c r="K899" s="4">
        <v>2155595</v>
      </c>
      <c r="L899" s="39">
        <v>101.56399999999999</v>
      </c>
      <c r="M899" s="4">
        <v>2189317</v>
      </c>
      <c r="N899" s="4">
        <v>2155607</v>
      </c>
      <c r="O899" s="4">
        <v>2155582</v>
      </c>
      <c r="P899" s="4">
        <v>0</v>
      </c>
      <c r="Q899" s="4">
        <v>-4</v>
      </c>
      <c r="R899" s="4">
        <v>0</v>
      </c>
      <c r="S899" s="4">
        <v>0</v>
      </c>
      <c r="T899" s="23">
        <v>2.84</v>
      </c>
      <c r="U899" s="23">
        <v>2.8559999999999999</v>
      </c>
      <c r="V899" s="5" t="s">
        <v>415</v>
      </c>
      <c r="W899" s="4">
        <v>1020</v>
      </c>
      <c r="X899" s="4">
        <v>61219</v>
      </c>
      <c r="Y899" s="11">
        <v>43683</v>
      </c>
      <c r="Z899" s="11">
        <v>48785</v>
      </c>
      <c r="AA899" s="2"/>
      <c r="AB899" s="63" t="s">
        <v>3840</v>
      </c>
      <c r="AC899" s="5" t="s">
        <v>9</v>
      </c>
      <c r="AD899" s="76" t="s">
        <v>1987</v>
      </c>
      <c r="AE899" s="10">
        <v>46167</v>
      </c>
      <c r="AF899" s="23">
        <v>100</v>
      </c>
      <c r="AG899" s="10">
        <v>46837</v>
      </c>
      <c r="AH899" s="5" t="s">
        <v>3</v>
      </c>
      <c r="AI899" s="5" t="s">
        <v>4077</v>
      </c>
      <c r="AJ899" s="5" t="s">
        <v>928</v>
      </c>
      <c r="AK899" s="16" t="s">
        <v>3</v>
      </c>
      <c r="AL899" s="65" t="s">
        <v>929</v>
      </c>
      <c r="AM899" s="31" t="s">
        <v>1176</v>
      </c>
    </row>
    <row r="900" spans="2:39" x14ac:dyDescent="0.25">
      <c r="B900" s="18" t="s">
        <v>2603</v>
      </c>
      <c r="C900" s="44" t="s">
        <v>1269</v>
      </c>
      <c r="D900" s="20" t="s">
        <v>3707</v>
      </c>
      <c r="E900" s="67" t="s">
        <v>3</v>
      </c>
      <c r="F900" s="51" t="s">
        <v>3</v>
      </c>
      <c r="G900" s="37" t="s">
        <v>1256</v>
      </c>
      <c r="H900" s="68" t="s">
        <v>2715</v>
      </c>
      <c r="I900" s="62" t="s">
        <v>3310</v>
      </c>
      <c r="J900" s="61" t="s">
        <v>250</v>
      </c>
      <c r="K900" s="4">
        <v>2585895</v>
      </c>
      <c r="L900" s="39">
        <v>104.66</v>
      </c>
      <c r="M900" s="4">
        <v>2624384</v>
      </c>
      <c r="N900" s="4">
        <v>2507534</v>
      </c>
      <c r="O900" s="4">
        <v>2582193</v>
      </c>
      <c r="P900" s="4">
        <v>0</v>
      </c>
      <c r="Q900" s="4">
        <v>-3702</v>
      </c>
      <c r="R900" s="4">
        <v>0</v>
      </c>
      <c r="S900" s="4">
        <v>0</v>
      </c>
      <c r="T900" s="23">
        <v>2.74</v>
      </c>
      <c r="U900" s="23">
        <v>2.044</v>
      </c>
      <c r="V900" s="5" t="s">
        <v>415</v>
      </c>
      <c r="W900" s="4">
        <v>1145</v>
      </c>
      <c r="X900" s="4">
        <v>28628</v>
      </c>
      <c r="Y900" s="11">
        <v>44035</v>
      </c>
      <c r="Z900" s="11">
        <v>50826</v>
      </c>
      <c r="AA900" s="2"/>
      <c r="AB900" s="63" t="s">
        <v>3840</v>
      </c>
      <c r="AC900" s="5" t="s">
        <v>9</v>
      </c>
      <c r="AD900" s="76" t="s">
        <v>1987</v>
      </c>
      <c r="AE900" s="11">
        <v>46593</v>
      </c>
      <c r="AF900" s="23">
        <v>100</v>
      </c>
      <c r="AG900" s="11">
        <v>47324</v>
      </c>
      <c r="AH900" s="5" t="s">
        <v>3</v>
      </c>
      <c r="AI900" s="5" t="s">
        <v>4075</v>
      </c>
      <c r="AJ900" s="5" t="s">
        <v>928</v>
      </c>
      <c r="AK900" s="16" t="s">
        <v>3</v>
      </c>
      <c r="AL900" s="65" t="s">
        <v>3842</v>
      </c>
      <c r="AM900" s="31" t="s">
        <v>2217</v>
      </c>
    </row>
    <row r="901" spans="2:39" x14ac:dyDescent="0.25">
      <c r="B901" s="18" t="s">
        <v>3709</v>
      </c>
      <c r="C901" s="44" t="s">
        <v>442</v>
      </c>
      <c r="D901" s="20" t="s">
        <v>2962</v>
      </c>
      <c r="E901" s="67" t="s">
        <v>3</v>
      </c>
      <c r="F901" s="51" t="s">
        <v>3</v>
      </c>
      <c r="G901" s="37" t="s">
        <v>1256</v>
      </c>
      <c r="H901" s="68" t="s">
        <v>2715</v>
      </c>
      <c r="I901" s="62" t="s">
        <v>1157</v>
      </c>
      <c r="J901" s="61" t="s">
        <v>250</v>
      </c>
      <c r="K901" s="4">
        <v>8998078</v>
      </c>
      <c r="L901" s="39">
        <v>100.372</v>
      </c>
      <c r="M901" s="4">
        <v>9033480</v>
      </c>
      <c r="N901" s="4">
        <v>9000000</v>
      </c>
      <c r="O901" s="4">
        <v>8998290</v>
      </c>
      <c r="P901" s="4">
        <v>0</v>
      </c>
      <c r="Q901" s="4">
        <v>212</v>
      </c>
      <c r="R901" s="4">
        <v>0</v>
      </c>
      <c r="S901" s="4">
        <v>0</v>
      </c>
      <c r="T901" s="23">
        <v>0.81</v>
      </c>
      <c r="U901" s="23">
        <v>0.82</v>
      </c>
      <c r="V901" s="5" t="s">
        <v>415</v>
      </c>
      <c r="W901" s="4">
        <v>3240</v>
      </c>
      <c r="X901" s="4">
        <v>16605</v>
      </c>
      <c r="Y901" s="11">
        <v>44092</v>
      </c>
      <c r="Z901" s="11">
        <v>45580</v>
      </c>
      <c r="AA901" s="2"/>
      <c r="AB901" s="63" t="s">
        <v>3840</v>
      </c>
      <c r="AC901" s="5" t="s">
        <v>9</v>
      </c>
      <c r="AD901" s="76" t="s">
        <v>1987</v>
      </c>
      <c r="AE901" s="10">
        <v>45031</v>
      </c>
      <c r="AF901" s="23">
        <v>100</v>
      </c>
      <c r="AG901" s="11">
        <v>45000</v>
      </c>
      <c r="AH901" s="5" t="s">
        <v>3</v>
      </c>
      <c r="AI901" s="5" t="s">
        <v>158</v>
      </c>
      <c r="AJ901" s="5" t="s">
        <v>928</v>
      </c>
      <c r="AK901" s="16" t="s">
        <v>3</v>
      </c>
      <c r="AL901" s="65" t="s">
        <v>929</v>
      </c>
      <c r="AM901" s="31" t="s">
        <v>1631</v>
      </c>
    </row>
    <row r="902" spans="2:39" x14ac:dyDescent="0.25">
      <c r="B902" s="18" t="s">
        <v>443</v>
      </c>
      <c r="C902" s="44" t="s">
        <v>159</v>
      </c>
      <c r="D902" s="20" t="s">
        <v>1076</v>
      </c>
      <c r="E902" s="67" t="s">
        <v>3</v>
      </c>
      <c r="F902" s="51" t="s">
        <v>3</v>
      </c>
      <c r="G902" s="37" t="s">
        <v>1256</v>
      </c>
      <c r="H902" s="68" t="s">
        <v>2715</v>
      </c>
      <c r="I902" s="62" t="s">
        <v>252</v>
      </c>
      <c r="J902" s="61" t="s">
        <v>250</v>
      </c>
      <c r="K902" s="4">
        <v>7499521</v>
      </c>
      <c r="L902" s="39">
        <v>99.456000000000003</v>
      </c>
      <c r="M902" s="4">
        <v>7459214</v>
      </c>
      <c r="N902" s="4">
        <v>7500000</v>
      </c>
      <c r="O902" s="4">
        <v>7499538</v>
      </c>
      <c r="P902" s="4">
        <v>0</v>
      </c>
      <c r="Q902" s="4">
        <v>18</v>
      </c>
      <c r="R902" s="4">
        <v>0</v>
      </c>
      <c r="S902" s="4">
        <v>0</v>
      </c>
      <c r="T902" s="23">
        <v>1.08</v>
      </c>
      <c r="U902" s="23">
        <v>1.0840000000000001</v>
      </c>
      <c r="V902" s="5" t="s">
        <v>415</v>
      </c>
      <c r="W902" s="4">
        <v>3600</v>
      </c>
      <c r="X902" s="4">
        <v>10575</v>
      </c>
      <c r="Y902" s="11">
        <v>44124</v>
      </c>
      <c r="Z902" s="11">
        <v>46736</v>
      </c>
      <c r="AA902" s="2"/>
      <c r="AB902" s="63" t="s">
        <v>3840</v>
      </c>
      <c r="AC902" s="5" t="s">
        <v>4198</v>
      </c>
      <c r="AD902" s="76" t="s">
        <v>1987</v>
      </c>
      <c r="AE902" s="10">
        <v>45672</v>
      </c>
      <c r="AF902" s="23">
        <v>100</v>
      </c>
      <c r="AG902" s="11">
        <v>45792</v>
      </c>
      <c r="AH902" s="5" t="s">
        <v>3</v>
      </c>
      <c r="AI902" s="5" t="s">
        <v>1077</v>
      </c>
      <c r="AJ902" s="5" t="s">
        <v>1077</v>
      </c>
      <c r="AK902" s="16" t="s">
        <v>3</v>
      </c>
      <c r="AL902" s="65" t="s">
        <v>2715</v>
      </c>
      <c r="AM902" s="31" t="s">
        <v>898</v>
      </c>
    </row>
    <row r="903" spans="2:39" x14ac:dyDescent="0.25">
      <c r="B903" s="18" t="s">
        <v>1507</v>
      </c>
      <c r="C903" s="44" t="s">
        <v>3236</v>
      </c>
      <c r="D903" s="20" t="s">
        <v>2962</v>
      </c>
      <c r="E903" s="67" t="s">
        <v>3</v>
      </c>
      <c r="F903" s="51" t="s">
        <v>3</v>
      </c>
      <c r="G903" s="37" t="s">
        <v>1256</v>
      </c>
      <c r="H903" s="68" t="s">
        <v>2715</v>
      </c>
      <c r="I903" s="62" t="s">
        <v>10</v>
      </c>
      <c r="J903" s="61" t="s">
        <v>250</v>
      </c>
      <c r="K903" s="4">
        <v>8499873</v>
      </c>
      <c r="L903" s="39">
        <v>102.492</v>
      </c>
      <c r="M903" s="4">
        <v>8711806</v>
      </c>
      <c r="N903" s="4">
        <v>8500000</v>
      </c>
      <c r="O903" s="4">
        <v>8499915</v>
      </c>
      <c r="P903" s="4">
        <v>0</v>
      </c>
      <c r="Q903" s="4">
        <v>42</v>
      </c>
      <c r="R903" s="4">
        <v>0</v>
      </c>
      <c r="S903" s="4">
        <v>0</v>
      </c>
      <c r="T903" s="23">
        <v>2.12</v>
      </c>
      <c r="U903" s="23">
        <v>2.13</v>
      </c>
      <c r="V903" s="5" t="s">
        <v>415</v>
      </c>
      <c r="W903" s="4">
        <v>8009</v>
      </c>
      <c r="X903" s="4">
        <v>161679</v>
      </c>
      <c r="Y903" s="11">
        <v>43843</v>
      </c>
      <c r="Z903" s="11">
        <v>45427</v>
      </c>
      <c r="AA903" s="2"/>
      <c r="AB903" s="63" t="s">
        <v>3840</v>
      </c>
      <c r="AC903" s="5" t="s">
        <v>9</v>
      </c>
      <c r="AD903" s="76" t="s">
        <v>1987</v>
      </c>
      <c r="AE903" s="11">
        <v>44788</v>
      </c>
      <c r="AF903" s="23">
        <v>100</v>
      </c>
      <c r="AG903" s="11">
        <v>44788</v>
      </c>
      <c r="AH903" s="5" t="s">
        <v>3</v>
      </c>
      <c r="AI903" s="5" t="s">
        <v>158</v>
      </c>
      <c r="AJ903" s="5" t="s">
        <v>928</v>
      </c>
      <c r="AK903" s="16" t="s">
        <v>3</v>
      </c>
      <c r="AL903" s="65" t="s">
        <v>929</v>
      </c>
      <c r="AM903" s="31" t="s">
        <v>1992</v>
      </c>
    </row>
    <row r="904" spans="2:39" x14ac:dyDescent="0.25">
      <c r="B904" s="18" t="s">
        <v>2604</v>
      </c>
      <c r="C904" s="44" t="s">
        <v>4366</v>
      </c>
      <c r="D904" s="20" t="s">
        <v>2146</v>
      </c>
      <c r="E904" s="67" t="s">
        <v>3</v>
      </c>
      <c r="F904" s="51" t="s">
        <v>3</v>
      </c>
      <c r="G904" s="37" t="s">
        <v>1987</v>
      </c>
      <c r="H904" s="68" t="s">
        <v>2715</v>
      </c>
      <c r="I904" s="62" t="s">
        <v>252</v>
      </c>
      <c r="J904" s="61" t="s">
        <v>250</v>
      </c>
      <c r="K904" s="4">
        <v>3710407</v>
      </c>
      <c r="L904" s="39">
        <v>102.32599999999999</v>
      </c>
      <c r="M904" s="4">
        <v>3796946</v>
      </c>
      <c r="N904" s="4">
        <v>3710631</v>
      </c>
      <c r="O904" s="4">
        <v>3710533</v>
      </c>
      <c r="P904" s="4">
        <v>0</v>
      </c>
      <c r="Q904" s="4">
        <v>23</v>
      </c>
      <c r="R904" s="4">
        <v>0</v>
      </c>
      <c r="S904" s="4">
        <v>0</v>
      </c>
      <c r="T904" s="23">
        <v>2.98</v>
      </c>
      <c r="U904" s="23">
        <v>3</v>
      </c>
      <c r="V904" s="5" t="s">
        <v>415</v>
      </c>
      <c r="W904" s="4">
        <v>4915</v>
      </c>
      <c r="X904" s="4">
        <v>110577</v>
      </c>
      <c r="Y904" s="11">
        <v>42277</v>
      </c>
      <c r="Z904" s="11">
        <v>52977</v>
      </c>
      <c r="AA904" s="2"/>
      <c r="AB904" s="63" t="s">
        <v>3840</v>
      </c>
      <c r="AC904" s="5" t="s">
        <v>9</v>
      </c>
      <c r="AD904" s="76" t="s">
        <v>143</v>
      </c>
      <c r="AE904" s="9"/>
      <c r="AF904" s="23"/>
      <c r="AG904" s="11">
        <v>45672</v>
      </c>
      <c r="AH904" s="5" t="s">
        <v>3</v>
      </c>
      <c r="AI904" s="5" t="s">
        <v>2146</v>
      </c>
      <c r="AJ904" s="5" t="s">
        <v>3</v>
      </c>
      <c r="AK904" s="16" t="s">
        <v>3</v>
      </c>
      <c r="AL904" s="65" t="s">
        <v>2715</v>
      </c>
      <c r="AM904" s="31" t="s">
        <v>898</v>
      </c>
    </row>
    <row r="905" spans="2:39" x14ac:dyDescent="0.25">
      <c r="B905" s="18" t="s">
        <v>3710</v>
      </c>
      <c r="C905" s="44" t="s">
        <v>4367</v>
      </c>
      <c r="D905" s="20" t="s">
        <v>2605</v>
      </c>
      <c r="E905" s="67" t="s">
        <v>1508</v>
      </c>
      <c r="F905" s="51" t="s">
        <v>3</v>
      </c>
      <c r="G905" s="37" t="s">
        <v>1256</v>
      </c>
      <c r="H905" s="68" t="s">
        <v>2715</v>
      </c>
      <c r="I905" s="62" t="s">
        <v>3310</v>
      </c>
      <c r="J905" s="61" t="s">
        <v>250</v>
      </c>
      <c r="K905" s="4">
        <v>8996958</v>
      </c>
      <c r="L905" s="39">
        <v>106.128</v>
      </c>
      <c r="M905" s="4">
        <v>9551520</v>
      </c>
      <c r="N905" s="4">
        <v>9000000</v>
      </c>
      <c r="O905" s="4">
        <v>8997466</v>
      </c>
      <c r="P905" s="4">
        <v>0</v>
      </c>
      <c r="Q905" s="4">
        <v>388</v>
      </c>
      <c r="R905" s="4">
        <v>0</v>
      </c>
      <c r="S905" s="4">
        <v>0</v>
      </c>
      <c r="T905" s="23">
        <v>2.29</v>
      </c>
      <c r="U905" s="23">
        <v>2.306</v>
      </c>
      <c r="V905" s="5" t="s">
        <v>415</v>
      </c>
      <c r="W905" s="4">
        <v>10878</v>
      </c>
      <c r="X905" s="4">
        <v>206100</v>
      </c>
      <c r="Y905" s="11">
        <v>43718</v>
      </c>
      <c r="Z905" s="11">
        <v>51817</v>
      </c>
      <c r="AA905" s="2"/>
      <c r="AB905" s="63" t="s">
        <v>3840</v>
      </c>
      <c r="AC905" s="5" t="s">
        <v>9</v>
      </c>
      <c r="AD905" s="76" t="s">
        <v>4350</v>
      </c>
      <c r="AE905" s="10">
        <v>46550</v>
      </c>
      <c r="AF905" s="23">
        <v>100</v>
      </c>
      <c r="AG905" s="11">
        <v>46307</v>
      </c>
      <c r="AH905" s="5" t="s">
        <v>3</v>
      </c>
      <c r="AI905" s="5" t="s">
        <v>444</v>
      </c>
      <c r="AJ905" s="5" t="s">
        <v>928</v>
      </c>
      <c r="AK905" s="16" t="s">
        <v>3</v>
      </c>
      <c r="AL905" s="65" t="s">
        <v>929</v>
      </c>
      <c r="AM905" s="31" t="s">
        <v>2217</v>
      </c>
    </row>
    <row r="906" spans="2:39" x14ac:dyDescent="0.25">
      <c r="B906" s="18" t="s">
        <v>445</v>
      </c>
      <c r="C906" s="44" t="s">
        <v>2344</v>
      </c>
      <c r="D906" s="20" t="s">
        <v>1509</v>
      </c>
      <c r="E906" s="67" t="s">
        <v>3</v>
      </c>
      <c r="F906" s="51" t="s">
        <v>3</v>
      </c>
      <c r="G906" s="37" t="s">
        <v>1256</v>
      </c>
      <c r="H906" s="68" t="s">
        <v>2715</v>
      </c>
      <c r="I906" s="62" t="s">
        <v>252</v>
      </c>
      <c r="J906" s="61" t="s">
        <v>250</v>
      </c>
      <c r="K906" s="4">
        <v>1770710</v>
      </c>
      <c r="L906" s="39">
        <v>100.538</v>
      </c>
      <c r="M906" s="4">
        <v>1792407</v>
      </c>
      <c r="N906" s="4">
        <v>1782810</v>
      </c>
      <c r="O906" s="4">
        <v>1774975</v>
      </c>
      <c r="P906" s="4">
        <v>0</v>
      </c>
      <c r="Q906" s="4">
        <v>2666</v>
      </c>
      <c r="R906" s="4">
        <v>0</v>
      </c>
      <c r="S906" s="4">
        <v>0</v>
      </c>
      <c r="T906" s="23">
        <v>2.52</v>
      </c>
      <c r="U906" s="23">
        <v>2.7879999999999998</v>
      </c>
      <c r="V906" s="5" t="s">
        <v>415</v>
      </c>
      <c r="W906" s="4">
        <v>1248</v>
      </c>
      <c r="X906" s="4">
        <v>44927</v>
      </c>
      <c r="Y906" s="11">
        <v>43447</v>
      </c>
      <c r="Z906" s="11">
        <v>48568</v>
      </c>
      <c r="AA906" s="2"/>
      <c r="AB906" s="63" t="s">
        <v>3840</v>
      </c>
      <c r="AC906" s="5" t="s">
        <v>9</v>
      </c>
      <c r="AD906" s="76" t="s">
        <v>143</v>
      </c>
      <c r="AE906" s="10">
        <v>44489</v>
      </c>
      <c r="AF906" s="23">
        <v>100</v>
      </c>
      <c r="AG906" s="11">
        <v>45464</v>
      </c>
      <c r="AH906" s="5" t="s">
        <v>780</v>
      </c>
      <c r="AI906" s="5" t="s">
        <v>1871</v>
      </c>
      <c r="AJ906" s="5" t="s">
        <v>928</v>
      </c>
      <c r="AK906" s="16" t="s">
        <v>3</v>
      </c>
      <c r="AL906" s="65" t="s">
        <v>2715</v>
      </c>
      <c r="AM906" s="31" t="s">
        <v>898</v>
      </c>
    </row>
    <row r="907" spans="2:39" x14ac:dyDescent="0.25">
      <c r="B907" s="18" t="s">
        <v>1872</v>
      </c>
      <c r="C907" s="44" t="s">
        <v>2345</v>
      </c>
      <c r="D907" s="20" t="s">
        <v>1871</v>
      </c>
      <c r="E907" s="67" t="s">
        <v>3</v>
      </c>
      <c r="F907" s="51" t="s">
        <v>3</v>
      </c>
      <c r="G907" s="37" t="s">
        <v>1987</v>
      </c>
      <c r="H907" s="68" t="s">
        <v>3842</v>
      </c>
      <c r="I907" s="62" t="s">
        <v>10</v>
      </c>
      <c r="J907" s="61" t="s">
        <v>250</v>
      </c>
      <c r="K907" s="4">
        <v>439854</v>
      </c>
      <c r="L907" s="39">
        <v>100.19499999999999</v>
      </c>
      <c r="M907" s="4">
        <v>443405</v>
      </c>
      <c r="N907" s="4">
        <v>442541</v>
      </c>
      <c r="O907" s="4">
        <v>440738</v>
      </c>
      <c r="P907" s="4">
        <v>0</v>
      </c>
      <c r="Q907" s="4">
        <v>592</v>
      </c>
      <c r="R907" s="4">
        <v>0</v>
      </c>
      <c r="S907" s="4">
        <v>0</v>
      </c>
      <c r="T907" s="23">
        <v>2.96</v>
      </c>
      <c r="U907" s="23">
        <v>3.218</v>
      </c>
      <c r="V907" s="5" t="s">
        <v>415</v>
      </c>
      <c r="W907" s="4">
        <v>364</v>
      </c>
      <c r="X907" s="4">
        <v>13099</v>
      </c>
      <c r="Y907" s="11">
        <v>43553</v>
      </c>
      <c r="Z907" s="11">
        <v>48568</v>
      </c>
      <c r="AA907" s="2"/>
      <c r="AB907" s="63" t="s">
        <v>3840</v>
      </c>
      <c r="AC907" s="5" t="s">
        <v>9</v>
      </c>
      <c r="AD907" s="76" t="s">
        <v>143</v>
      </c>
      <c r="AE907" s="6"/>
      <c r="AF907" s="23"/>
      <c r="AG907" s="11">
        <v>45464</v>
      </c>
      <c r="AH907" s="5" t="s">
        <v>780</v>
      </c>
      <c r="AI907" s="5" t="s">
        <v>1871</v>
      </c>
      <c r="AJ907" s="5" t="s">
        <v>3</v>
      </c>
      <c r="AK907" s="16" t="s">
        <v>3</v>
      </c>
      <c r="AL907" s="65" t="s">
        <v>2715</v>
      </c>
      <c r="AM907" s="31" t="s">
        <v>1176</v>
      </c>
    </row>
    <row r="908" spans="2:39" x14ac:dyDescent="0.25">
      <c r="B908" s="18" t="s">
        <v>2963</v>
      </c>
      <c r="C908" s="44" t="s">
        <v>1873</v>
      </c>
      <c r="D908" s="20" t="s">
        <v>4368</v>
      </c>
      <c r="E908" s="67" t="s">
        <v>3</v>
      </c>
      <c r="F908" s="51" t="s">
        <v>3</v>
      </c>
      <c r="G908" s="37" t="s">
        <v>1256</v>
      </c>
      <c r="H908" s="68" t="s">
        <v>2715</v>
      </c>
      <c r="I908" s="62" t="s">
        <v>252</v>
      </c>
      <c r="J908" s="61" t="s">
        <v>250</v>
      </c>
      <c r="K908" s="4">
        <v>1594099</v>
      </c>
      <c r="L908" s="39">
        <v>100.20399999999999</v>
      </c>
      <c r="M908" s="4">
        <v>1618933</v>
      </c>
      <c r="N908" s="4">
        <v>1615630</v>
      </c>
      <c r="O908" s="4">
        <v>1602662</v>
      </c>
      <c r="P908" s="4">
        <v>0</v>
      </c>
      <c r="Q908" s="4">
        <v>4325</v>
      </c>
      <c r="R908" s="4">
        <v>0</v>
      </c>
      <c r="S908" s="4">
        <v>0</v>
      </c>
      <c r="T908" s="23">
        <v>2.25</v>
      </c>
      <c r="U908" s="23">
        <v>2.75</v>
      </c>
      <c r="V908" s="5" t="s">
        <v>415</v>
      </c>
      <c r="W908" s="4">
        <v>1111</v>
      </c>
      <c r="X908" s="4">
        <v>36352</v>
      </c>
      <c r="Y908" s="11">
        <v>43447</v>
      </c>
      <c r="Z908" s="11">
        <v>48113</v>
      </c>
      <c r="AA908" s="2"/>
      <c r="AB908" s="63" t="s">
        <v>3840</v>
      </c>
      <c r="AC908" s="5" t="s">
        <v>9</v>
      </c>
      <c r="AD908" s="76" t="s">
        <v>143</v>
      </c>
      <c r="AE908" s="10">
        <v>44367</v>
      </c>
      <c r="AF908" s="23">
        <v>100</v>
      </c>
      <c r="AG908" s="11">
        <v>45342</v>
      </c>
      <c r="AH908" s="5" t="s">
        <v>781</v>
      </c>
      <c r="AI908" s="5" t="s">
        <v>2147</v>
      </c>
      <c r="AJ908" s="5" t="s">
        <v>928</v>
      </c>
      <c r="AK908" s="16" t="s">
        <v>3</v>
      </c>
      <c r="AL908" s="65" t="s">
        <v>2715</v>
      </c>
      <c r="AM908" s="31" t="s">
        <v>898</v>
      </c>
    </row>
    <row r="909" spans="2:39" x14ac:dyDescent="0.25">
      <c r="B909" s="18" t="s">
        <v>4080</v>
      </c>
      <c r="C909" s="44" t="s">
        <v>4081</v>
      </c>
      <c r="D909" s="20" t="s">
        <v>1510</v>
      </c>
      <c r="E909" s="67" t="s">
        <v>3</v>
      </c>
      <c r="F909" s="51" t="s">
        <v>3</v>
      </c>
      <c r="G909" s="37" t="s">
        <v>1987</v>
      </c>
      <c r="H909" s="68" t="s">
        <v>3842</v>
      </c>
      <c r="I909" s="62" t="s">
        <v>10</v>
      </c>
      <c r="J909" s="61" t="s">
        <v>250</v>
      </c>
      <c r="K909" s="4">
        <v>776380</v>
      </c>
      <c r="L909" s="39">
        <v>100.16200000000001</v>
      </c>
      <c r="M909" s="4">
        <v>777861</v>
      </c>
      <c r="N909" s="4">
        <v>776606</v>
      </c>
      <c r="O909" s="4">
        <v>776470</v>
      </c>
      <c r="P909" s="4">
        <v>0</v>
      </c>
      <c r="Q909" s="4">
        <v>20</v>
      </c>
      <c r="R909" s="4">
        <v>0</v>
      </c>
      <c r="S909" s="4">
        <v>0</v>
      </c>
      <c r="T909" s="23">
        <v>2.64</v>
      </c>
      <c r="U909" s="23">
        <v>2.66</v>
      </c>
      <c r="V909" s="5" t="s">
        <v>415</v>
      </c>
      <c r="W909" s="4">
        <v>626</v>
      </c>
      <c r="X909" s="4">
        <v>20502</v>
      </c>
      <c r="Y909" s="11">
        <v>42584</v>
      </c>
      <c r="Z909" s="11">
        <v>48933</v>
      </c>
      <c r="AA909" s="2"/>
      <c r="AB909" s="63" t="s">
        <v>3840</v>
      </c>
      <c r="AC909" s="5" t="s">
        <v>9</v>
      </c>
      <c r="AD909" s="76" t="s">
        <v>143</v>
      </c>
      <c r="AE909" s="9"/>
      <c r="AF909" s="23"/>
      <c r="AG909" s="11">
        <v>45981</v>
      </c>
      <c r="AH909" s="5" t="s">
        <v>3</v>
      </c>
      <c r="AI909" s="5" t="s">
        <v>1510</v>
      </c>
      <c r="AJ909" s="5" t="s">
        <v>3</v>
      </c>
      <c r="AK909" s="16" t="s">
        <v>3</v>
      </c>
      <c r="AL909" s="65" t="s">
        <v>2715</v>
      </c>
      <c r="AM909" s="31" t="s">
        <v>1176</v>
      </c>
    </row>
    <row r="910" spans="2:39" x14ac:dyDescent="0.25">
      <c r="B910" s="18" t="s">
        <v>1511</v>
      </c>
      <c r="C910" s="44" t="s">
        <v>3711</v>
      </c>
      <c r="D910" s="20" t="s">
        <v>446</v>
      </c>
      <c r="E910" s="67" t="s">
        <v>3</v>
      </c>
      <c r="F910" s="51" t="s">
        <v>3</v>
      </c>
      <c r="G910" s="37" t="s">
        <v>2715</v>
      </c>
      <c r="H910" s="68" t="s">
        <v>2715</v>
      </c>
      <c r="I910" s="62" t="s">
        <v>3310</v>
      </c>
      <c r="J910" s="61" t="s">
        <v>250</v>
      </c>
      <c r="K910" s="4">
        <v>570513</v>
      </c>
      <c r="L910" s="39">
        <v>102.41</v>
      </c>
      <c r="M910" s="4">
        <v>571927</v>
      </c>
      <c r="N910" s="4">
        <v>558471</v>
      </c>
      <c r="O910" s="4">
        <v>570185</v>
      </c>
      <c r="P910" s="4">
        <v>0</v>
      </c>
      <c r="Q910" s="4">
        <v>-328</v>
      </c>
      <c r="R910" s="4">
        <v>0</v>
      </c>
      <c r="S910" s="4">
        <v>0</v>
      </c>
      <c r="T910" s="23">
        <v>2.42</v>
      </c>
      <c r="U910" s="23">
        <v>1.635</v>
      </c>
      <c r="V910" s="5" t="s">
        <v>415</v>
      </c>
      <c r="W910" s="4">
        <v>413</v>
      </c>
      <c r="X910" s="4">
        <v>1126</v>
      </c>
      <c r="Y910" s="11">
        <v>44166</v>
      </c>
      <c r="Z910" s="11">
        <v>49298</v>
      </c>
      <c r="AA910" s="2"/>
      <c r="AB910" s="63" t="s">
        <v>3840</v>
      </c>
      <c r="AC910" s="5" t="s">
        <v>9</v>
      </c>
      <c r="AD910" s="76" t="s">
        <v>1987</v>
      </c>
      <c r="AE910" s="10">
        <v>45127</v>
      </c>
      <c r="AF910" s="23">
        <v>100</v>
      </c>
      <c r="AG910" s="10">
        <v>46132</v>
      </c>
      <c r="AH910" s="5" t="s">
        <v>3</v>
      </c>
      <c r="AI910" s="5" t="s">
        <v>1270</v>
      </c>
      <c r="AJ910" s="5" t="s">
        <v>928</v>
      </c>
      <c r="AK910" s="16" t="s">
        <v>3</v>
      </c>
      <c r="AL910" s="65" t="s">
        <v>2715</v>
      </c>
      <c r="AM910" s="31" t="s">
        <v>2217</v>
      </c>
    </row>
    <row r="911" spans="2:39" x14ac:dyDescent="0.25">
      <c r="B911" s="18" t="s">
        <v>2606</v>
      </c>
      <c r="C911" s="44" t="s">
        <v>3712</v>
      </c>
      <c r="D911" s="20" t="s">
        <v>446</v>
      </c>
      <c r="E911" s="67" t="s">
        <v>3</v>
      </c>
      <c r="F911" s="51" t="s">
        <v>3</v>
      </c>
      <c r="G911" s="37" t="s">
        <v>1256</v>
      </c>
      <c r="H911" s="68" t="s">
        <v>2715</v>
      </c>
      <c r="I911" s="62" t="s">
        <v>252</v>
      </c>
      <c r="J911" s="61" t="s">
        <v>250</v>
      </c>
      <c r="K911" s="4">
        <v>2232364</v>
      </c>
      <c r="L911" s="39">
        <v>101.926</v>
      </c>
      <c r="M911" s="4">
        <v>2251437</v>
      </c>
      <c r="N911" s="4">
        <v>2208894</v>
      </c>
      <c r="O911" s="4">
        <v>2230764</v>
      </c>
      <c r="P911" s="4">
        <v>0</v>
      </c>
      <c r="Q911" s="4">
        <v>-1599</v>
      </c>
      <c r="R911" s="4">
        <v>0</v>
      </c>
      <c r="S911" s="4">
        <v>0</v>
      </c>
      <c r="T911" s="23">
        <v>2.75</v>
      </c>
      <c r="U911" s="23">
        <v>2.411</v>
      </c>
      <c r="V911" s="5" t="s">
        <v>415</v>
      </c>
      <c r="W911" s="4">
        <v>1856</v>
      </c>
      <c r="X911" s="4">
        <v>25310</v>
      </c>
      <c r="Y911" s="11">
        <v>44036</v>
      </c>
      <c r="Z911" s="11">
        <v>49298</v>
      </c>
      <c r="AA911" s="2"/>
      <c r="AB911" s="63" t="s">
        <v>3840</v>
      </c>
      <c r="AC911" s="5" t="s">
        <v>9</v>
      </c>
      <c r="AD911" s="76" t="s">
        <v>1987</v>
      </c>
      <c r="AE911" s="10">
        <v>45189</v>
      </c>
      <c r="AF911" s="23">
        <v>100</v>
      </c>
      <c r="AG911" s="10">
        <v>46285</v>
      </c>
      <c r="AH911" s="5" t="s">
        <v>3</v>
      </c>
      <c r="AI911" s="5" t="s">
        <v>1270</v>
      </c>
      <c r="AJ911" s="5" t="s">
        <v>928</v>
      </c>
      <c r="AK911" s="16" t="s">
        <v>3</v>
      </c>
      <c r="AL911" s="65" t="s">
        <v>929</v>
      </c>
      <c r="AM911" s="31" t="s">
        <v>898</v>
      </c>
    </row>
    <row r="912" spans="2:39" x14ac:dyDescent="0.25">
      <c r="B912" s="18" t="s">
        <v>3713</v>
      </c>
      <c r="C912" s="44" t="s">
        <v>3714</v>
      </c>
      <c r="D912" s="20" t="s">
        <v>3715</v>
      </c>
      <c r="E912" s="67" t="s">
        <v>3</v>
      </c>
      <c r="F912" s="51" t="s">
        <v>3</v>
      </c>
      <c r="G912" s="37" t="s">
        <v>1256</v>
      </c>
      <c r="H912" s="68" t="s">
        <v>2715</v>
      </c>
      <c r="I912" s="62" t="s">
        <v>252</v>
      </c>
      <c r="J912" s="61" t="s">
        <v>250</v>
      </c>
      <c r="K912" s="4">
        <v>3639060</v>
      </c>
      <c r="L912" s="39">
        <v>102.791</v>
      </c>
      <c r="M912" s="4">
        <v>3741625</v>
      </c>
      <c r="N912" s="4">
        <v>3640048</v>
      </c>
      <c r="O912" s="4">
        <v>3639241</v>
      </c>
      <c r="P912" s="4">
        <v>0</v>
      </c>
      <c r="Q912" s="4">
        <v>110</v>
      </c>
      <c r="R912" s="4">
        <v>0</v>
      </c>
      <c r="S912" s="4">
        <v>0</v>
      </c>
      <c r="T912" s="23">
        <v>3</v>
      </c>
      <c r="U912" s="23">
        <v>3.0249999999999999</v>
      </c>
      <c r="V912" s="5" t="s">
        <v>415</v>
      </c>
      <c r="W912" s="4">
        <v>3337</v>
      </c>
      <c r="X912" s="4">
        <v>109201</v>
      </c>
      <c r="Y912" s="11">
        <v>43599</v>
      </c>
      <c r="Z912" s="11">
        <v>49999</v>
      </c>
      <c r="AA912" s="2"/>
      <c r="AB912" s="63" t="s">
        <v>3840</v>
      </c>
      <c r="AC912" s="5" t="s">
        <v>9</v>
      </c>
      <c r="AD912" s="76" t="s">
        <v>1987</v>
      </c>
      <c r="AE912" s="11">
        <v>46466</v>
      </c>
      <c r="AF912" s="23">
        <v>100</v>
      </c>
      <c r="AG912" s="11">
        <v>46497</v>
      </c>
      <c r="AH912" s="5" t="s">
        <v>3</v>
      </c>
      <c r="AI912" s="5" t="s">
        <v>447</v>
      </c>
      <c r="AJ912" s="5" t="s">
        <v>928</v>
      </c>
      <c r="AK912" s="16" t="s">
        <v>3</v>
      </c>
      <c r="AL912" s="65" t="s">
        <v>929</v>
      </c>
      <c r="AM912" s="31" t="s">
        <v>898</v>
      </c>
    </row>
    <row r="913" spans="2:39" x14ac:dyDescent="0.25">
      <c r="B913" s="18" t="s">
        <v>448</v>
      </c>
      <c r="C913" s="44" t="s">
        <v>3716</v>
      </c>
      <c r="D913" s="20" t="s">
        <v>3715</v>
      </c>
      <c r="E913" s="67" t="s">
        <v>3</v>
      </c>
      <c r="F913" s="51" t="s">
        <v>3</v>
      </c>
      <c r="G913" s="37" t="s">
        <v>1256</v>
      </c>
      <c r="H913" s="68" t="s">
        <v>3842</v>
      </c>
      <c r="I913" s="62" t="s">
        <v>10</v>
      </c>
      <c r="J913" s="61" t="s">
        <v>250</v>
      </c>
      <c r="K913" s="4">
        <v>1819789</v>
      </c>
      <c r="L913" s="39">
        <v>101.77800000000001</v>
      </c>
      <c r="M913" s="4">
        <v>1852383</v>
      </c>
      <c r="N913" s="4">
        <v>1820024</v>
      </c>
      <c r="O913" s="4">
        <v>1819826</v>
      </c>
      <c r="P913" s="4">
        <v>0</v>
      </c>
      <c r="Q913" s="4">
        <v>17</v>
      </c>
      <c r="R913" s="4">
        <v>0</v>
      </c>
      <c r="S913" s="4">
        <v>0</v>
      </c>
      <c r="T913" s="23">
        <v>3.33</v>
      </c>
      <c r="U913" s="23">
        <v>3.355</v>
      </c>
      <c r="V913" s="5" t="s">
        <v>415</v>
      </c>
      <c r="W913" s="4">
        <v>1852</v>
      </c>
      <c r="X913" s="4">
        <v>60607</v>
      </c>
      <c r="Y913" s="11">
        <v>43599</v>
      </c>
      <c r="Z913" s="11">
        <v>49999</v>
      </c>
      <c r="AA913" s="2"/>
      <c r="AB913" s="63" t="s">
        <v>3840</v>
      </c>
      <c r="AC913" s="5" t="s">
        <v>9</v>
      </c>
      <c r="AD913" s="76" t="s">
        <v>1987</v>
      </c>
      <c r="AE913" s="11">
        <v>46466</v>
      </c>
      <c r="AF913" s="23">
        <v>100</v>
      </c>
      <c r="AG913" s="11">
        <v>46497</v>
      </c>
      <c r="AH913" s="5" t="s">
        <v>3</v>
      </c>
      <c r="AI913" s="5" t="s">
        <v>447</v>
      </c>
      <c r="AJ913" s="5" t="s">
        <v>928</v>
      </c>
      <c r="AK913" s="16" t="s">
        <v>3</v>
      </c>
      <c r="AL913" s="65" t="s">
        <v>929</v>
      </c>
      <c r="AM913" s="31" t="s">
        <v>1176</v>
      </c>
    </row>
    <row r="914" spans="2:39" x14ac:dyDescent="0.25">
      <c r="B914" s="18" t="s">
        <v>1512</v>
      </c>
      <c r="C914" s="44" t="s">
        <v>2607</v>
      </c>
      <c r="D914" s="20" t="s">
        <v>1513</v>
      </c>
      <c r="E914" s="67" t="s">
        <v>3</v>
      </c>
      <c r="F914" s="51" t="s">
        <v>3</v>
      </c>
      <c r="G914" s="37" t="s">
        <v>1256</v>
      </c>
      <c r="H914" s="68" t="s">
        <v>2715</v>
      </c>
      <c r="I914" s="62" t="s">
        <v>3310</v>
      </c>
      <c r="J914" s="61" t="s">
        <v>250</v>
      </c>
      <c r="K914" s="4">
        <v>15909517</v>
      </c>
      <c r="L914" s="39">
        <v>102.86199999999999</v>
      </c>
      <c r="M914" s="4">
        <v>16205362</v>
      </c>
      <c r="N914" s="4">
        <v>15754512</v>
      </c>
      <c r="O914" s="4">
        <v>15903563</v>
      </c>
      <c r="P914" s="4">
        <v>0</v>
      </c>
      <c r="Q914" s="4">
        <v>-5973</v>
      </c>
      <c r="R914" s="4">
        <v>0</v>
      </c>
      <c r="S914" s="4">
        <v>0</v>
      </c>
      <c r="T914" s="23">
        <v>2.2200000000000002</v>
      </c>
      <c r="U914" s="23">
        <v>2.044</v>
      </c>
      <c r="V914" s="5" t="s">
        <v>415</v>
      </c>
      <c r="W914" s="4">
        <v>10687</v>
      </c>
      <c r="X914" s="4">
        <v>240050</v>
      </c>
      <c r="Y914" s="11">
        <v>44166</v>
      </c>
      <c r="Z914" s="11">
        <v>50698</v>
      </c>
      <c r="AA914" s="2"/>
      <c r="AB914" s="63" t="s">
        <v>3840</v>
      </c>
      <c r="AC914" s="5" t="s">
        <v>9</v>
      </c>
      <c r="AD914" s="76" t="s">
        <v>1987</v>
      </c>
      <c r="AE914" s="11">
        <v>46315</v>
      </c>
      <c r="AF914" s="23">
        <v>100</v>
      </c>
      <c r="AG914" s="11">
        <v>48049</v>
      </c>
      <c r="AH914" s="5" t="s">
        <v>3</v>
      </c>
      <c r="AI914" s="5" t="s">
        <v>4082</v>
      </c>
      <c r="AJ914" s="5" t="s">
        <v>928</v>
      </c>
      <c r="AK914" s="16" t="s">
        <v>3</v>
      </c>
      <c r="AL914" s="65" t="s">
        <v>3842</v>
      </c>
      <c r="AM914" s="31" t="s">
        <v>2217</v>
      </c>
    </row>
    <row r="915" spans="2:39" x14ac:dyDescent="0.25">
      <c r="B915" s="18" t="s">
        <v>2608</v>
      </c>
      <c r="C915" s="44" t="s">
        <v>2346</v>
      </c>
      <c r="D915" s="20" t="s">
        <v>1513</v>
      </c>
      <c r="E915" s="67" t="s">
        <v>3</v>
      </c>
      <c r="F915" s="51" t="s">
        <v>3</v>
      </c>
      <c r="G915" s="37" t="s">
        <v>1256</v>
      </c>
      <c r="H915" s="68" t="s">
        <v>2715</v>
      </c>
      <c r="I915" s="62" t="s">
        <v>252</v>
      </c>
      <c r="J915" s="61" t="s">
        <v>250</v>
      </c>
      <c r="K915" s="4">
        <v>1938255</v>
      </c>
      <c r="L915" s="39">
        <v>101.755</v>
      </c>
      <c r="M915" s="4">
        <v>1972589</v>
      </c>
      <c r="N915" s="4">
        <v>1938558</v>
      </c>
      <c r="O915" s="4">
        <v>1938263</v>
      </c>
      <c r="P915" s="4">
        <v>0</v>
      </c>
      <c r="Q915" s="4">
        <v>8</v>
      </c>
      <c r="R915" s="4">
        <v>0</v>
      </c>
      <c r="S915" s="4">
        <v>0</v>
      </c>
      <c r="T915" s="23">
        <v>2.44</v>
      </c>
      <c r="U915" s="23">
        <v>2.4550000000000001</v>
      </c>
      <c r="V915" s="5" t="s">
        <v>415</v>
      </c>
      <c r="W915" s="4">
        <v>1445</v>
      </c>
      <c r="X915" s="4">
        <v>19709</v>
      </c>
      <c r="Y915" s="11">
        <v>44034</v>
      </c>
      <c r="Z915" s="11">
        <v>50698</v>
      </c>
      <c r="AA915" s="2"/>
      <c r="AB915" s="63" t="s">
        <v>3840</v>
      </c>
      <c r="AC915" s="5" t="s">
        <v>9</v>
      </c>
      <c r="AD915" s="76" t="s">
        <v>1987</v>
      </c>
      <c r="AE915" s="10">
        <v>46315</v>
      </c>
      <c r="AF915" s="23">
        <v>100</v>
      </c>
      <c r="AG915" s="11">
        <v>48049</v>
      </c>
      <c r="AH915" s="5" t="s">
        <v>3</v>
      </c>
      <c r="AI915" s="5" t="s">
        <v>4082</v>
      </c>
      <c r="AJ915" s="5" t="s">
        <v>928</v>
      </c>
      <c r="AK915" s="16" t="s">
        <v>3</v>
      </c>
      <c r="AL915" s="65" t="s">
        <v>929</v>
      </c>
      <c r="AM915" s="31" t="s">
        <v>898</v>
      </c>
    </row>
    <row r="916" spans="2:39" x14ac:dyDescent="0.25">
      <c r="B916" s="18" t="s">
        <v>4083</v>
      </c>
      <c r="C916" s="44" t="s">
        <v>4084</v>
      </c>
      <c r="D916" s="20" t="s">
        <v>3717</v>
      </c>
      <c r="E916" s="67" t="s">
        <v>3</v>
      </c>
      <c r="F916" s="51" t="s">
        <v>3</v>
      </c>
      <c r="G916" s="37" t="s">
        <v>1256</v>
      </c>
      <c r="H916" s="68" t="s">
        <v>2715</v>
      </c>
      <c r="I916" s="62" t="s">
        <v>3310</v>
      </c>
      <c r="J916" s="61" t="s">
        <v>250</v>
      </c>
      <c r="K916" s="4">
        <v>7263214</v>
      </c>
      <c r="L916" s="39">
        <v>102.26600000000001</v>
      </c>
      <c r="M916" s="4">
        <v>7428703</v>
      </c>
      <c r="N916" s="4">
        <v>7264074</v>
      </c>
      <c r="O916" s="4">
        <v>7263245</v>
      </c>
      <c r="P916" s="4">
        <v>0</v>
      </c>
      <c r="Q916" s="4">
        <v>31</v>
      </c>
      <c r="R916" s="4">
        <v>0</v>
      </c>
      <c r="S916" s="4">
        <v>0</v>
      </c>
      <c r="T916" s="23">
        <v>1.74</v>
      </c>
      <c r="U916" s="23">
        <v>1.748</v>
      </c>
      <c r="V916" s="5" t="s">
        <v>415</v>
      </c>
      <c r="W916" s="4">
        <v>3862</v>
      </c>
      <c r="X916" s="4">
        <v>52313</v>
      </c>
      <c r="Y916" s="11">
        <v>44025</v>
      </c>
      <c r="Z916" s="11">
        <v>50333</v>
      </c>
      <c r="AA916" s="2"/>
      <c r="AB916" s="63" t="s">
        <v>3840</v>
      </c>
      <c r="AC916" s="5" t="s">
        <v>9</v>
      </c>
      <c r="AD916" s="76" t="s">
        <v>1987</v>
      </c>
      <c r="AE916" s="11">
        <v>46832</v>
      </c>
      <c r="AF916" s="23">
        <v>100</v>
      </c>
      <c r="AG916" s="11">
        <v>48324</v>
      </c>
      <c r="AH916" s="5" t="s">
        <v>3</v>
      </c>
      <c r="AI916" s="5" t="s">
        <v>2964</v>
      </c>
      <c r="AJ916" s="5" t="s">
        <v>928</v>
      </c>
      <c r="AK916" s="16" t="s">
        <v>3</v>
      </c>
      <c r="AL916" s="65" t="s">
        <v>3842</v>
      </c>
      <c r="AM916" s="31" t="s">
        <v>2217</v>
      </c>
    </row>
    <row r="917" spans="2:39" x14ac:dyDescent="0.25">
      <c r="B917" s="18" t="s">
        <v>782</v>
      </c>
      <c r="C917" s="44" t="s">
        <v>3718</v>
      </c>
      <c r="D917" s="20" t="s">
        <v>3717</v>
      </c>
      <c r="E917" s="67" t="s">
        <v>3</v>
      </c>
      <c r="F917" s="51" t="s">
        <v>3</v>
      </c>
      <c r="G917" s="37" t="s">
        <v>1256</v>
      </c>
      <c r="H917" s="68" t="s">
        <v>2715</v>
      </c>
      <c r="I917" s="62" t="s">
        <v>252</v>
      </c>
      <c r="J917" s="61" t="s">
        <v>250</v>
      </c>
      <c r="K917" s="4">
        <v>1815768</v>
      </c>
      <c r="L917" s="39">
        <v>102.52200000000001</v>
      </c>
      <c r="M917" s="4">
        <v>1861822</v>
      </c>
      <c r="N917" s="4">
        <v>1816019</v>
      </c>
      <c r="O917" s="4">
        <v>1815776</v>
      </c>
      <c r="P917" s="4">
        <v>0</v>
      </c>
      <c r="Q917" s="4">
        <v>8</v>
      </c>
      <c r="R917" s="4">
        <v>0</v>
      </c>
      <c r="S917" s="4">
        <v>0</v>
      </c>
      <c r="T917" s="23">
        <v>2.73</v>
      </c>
      <c r="U917" s="23">
        <v>2.7480000000000002</v>
      </c>
      <c r="V917" s="5" t="s">
        <v>415</v>
      </c>
      <c r="W917" s="4">
        <v>1515</v>
      </c>
      <c r="X917" s="4">
        <v>20519</v>
      </c>
      <c r="Y917" s="11">
        <v>44025</v>
      </c>
      <c r="Z917" s="11">
        <v>50333</v>
      </c>
      <c r="AA917" s="2"/>
      <c r="AB917" s="63" t="s">
        <v>3840</v>
      </c>
      <c r="AC917" s="5" t="s">
        <v>9</v>
      </c>
      <c r="AD917" s="76" t="s">
        <v>1987</v>
      </c>
      <c r="AE917" s="11">
        <v>46832</v>
      </c>
      <c r="AF917" s="23">
        <v>100</v>
      </c>
      <c r="AG917" s="11">
        <v>48324</v>
      </c>
      <c r="AH917" s="5" t="s">
        <v>3</v>
      </c>
      <c r="AI917" s="5" t="s">
        <v>2964</v>
      </c>
      <c r="AJ917" s="5" t="s">
        <v>928</v>
      </c>
      <c r="AK917" s="16" t="s">
        <v>3</v>
      </c>
      <c r="AL917" s="65" t="s">
        <v>3842</v>
      </c>
      <c r="AM917" s="31" t="s">
        <v>898</v>
      </c>
    </row>
    <row r="918" spans="2:39" x14ac:dyDescent="0.25">
      <c r="B918" s="18" t="s">
        <v>1874</v>
      </c>
      <c r="C918" s="44" t="s">
        <v>160</v>
      </c>
      <c r="D918" s="20" t="s">
        <v>3719</v>
      </c>
      <c r="E918" s="67" t="s">
        <v>3</v>
      </c>
      <c r="F918" s="51" t="s">
        <v>3</v>
      </c>
      <c r="G918" s="37" t="s">
        <v>1256</v>
      </c>
      <c r="H918" s="68" t="s">
        <v>2715</v>
      </c>
      <c r="I918" s="62" t="s">
        <v>3310</v>
      </c>
      <c r="J918" s="61" t="s">
        <v>250</v>
      </c>
      <c r="K918" s="4">
        <v>2114072</v>
      </c>
      <c r="L918" s="39">
        <v>100.35899999999999</v>
      </c>
      <c r="M918" s="4">
        <v>2121801</v>
      </c>
      <c r="N918" s="4">
        <v>2114221</v>
      </c>
      <c r="O918" s="4">
        <v>2114014</v>
      </c>
      <c r="P918" s="4">
        <v>0</v>
      </c>
      <c r="Q918" s="4">
        <v>-42</v>
      </c>
      <c r="R918" s="4">
        <v>0</v>
      </c>
      <c r="S918" s="4">
        <v>0</v>
      </c>
      <c r="T918" s="23">
        <v>3.54</v>
      </c>
      <c r="U918" s="23">
        <v>3.5649999999999999</v>
      </c>
      <c r="V918" s="5" t="s">
        <v>415</v>
      </c>
      <c r="W918" s="4">
        <v>2287</v>
      </c>
      <c r="X918" s="4">
        <v>74843</v>
      </c>
      <c r="Y918" s="11">
        <v>43298</v>
      </c>
      <c r="Z918" s="11">
        <v>45068</v>
      </c>
      <c r="AA918" s="2"/>
      <c r="AB918" s="63" t="s">
        <v>3840</v>
      </c>
      <c r="AC918" s="5" t="s">
        <v>9</v>
      </c>
      <c r="AD918" s="76" t="s">
        <v>4350</v>
      </c>
      <c r="AE918" s="11">
        <v>44397</v>
      </c>
      <c r="AF918" s="23">
        <v>100</v>
      </c>
      <c r="AG918" s="11">
        <v>44306</v>
      </c>
      <c r="AH918" s="5" t="s">
        <v>3</v>
      </c>
      <c r="AI918" s="5" t="s">
        <v>4085</v>
      </c>
      <c r="AJ918" s="5" t="s">
        <v>928</v>
      </c>
      <c r="AK918" s="16" t="s">
        <v>3</v>
      </c>
      <c r="AL918" s="65" t="s">
        <v>929</v>
      </c>
      <c r="AM918" s="31" t="s">
        <v>2217</v>
      </c>
    </row>
    <row r="919" spans="2:39" x14ac:dyDescent="0.25">
      <c r="B919" s="18" t="s">
        <v>2965</v>
      </c>
      <c r="C919" s="44" t="s">
        <v>161</v>
      </c>
      <c r="D919" s="20" t="s">
        <v>3719</v>
      </c>
      <c r="E919" s="67" t="s">
        <v>3</v>
      </c>
      <c r="F919" s="51" t="s">
        <v>3</v>
      </c>
      <c r="G919" s="37" t="s">
        <v>1256</v>
      </c>
      <c r="H919" s="68" t="s">
        <v>2715</v>
      </c>
      <c r="I919" s="62" t="s">
        <v>252</v>
      </c>
      <c r="J919" s="61" t="s">
        <v>250</v>
      </c>
      <c r="K919" s="4">
        <v>2249793</v>
      </c>
      <c r="L919" s="39">
        <v>100.754</v>
      </c>
      <c r="M919" s="4">
        <v>2266974</v>
      </c>
      <c r="N919" s="4">
        <v>2250000</v>
      </c>
      <c r="O919" s="4">
        <v>2249929</v>
      </c>
      <c r="P919" s="4">
        <v>0</v>
      </c>
      <c r="Q919" s="4">
        <v>91</v>
      </c>
      <c r="R919" s="4">
        <v>0</v>
      </c>
      <c r="S919" s="4">
        <v>0</v>
      </c>
      <c r="T919" s="23">
        <v>3.7</v>
      </c>
      <c r="U919" s="23">
        <v>3.7309999999999999</v>
      </c>
      <c r="V919" s="5" t="s">
        <v>415</v>
      </c>
      <c r="W919" s="4">
        <v>2544</v>
      </c>
      <c r="X919" s="4">
        <v>83250</v>
      </c>
      <c r="Y919" s="11">
        <v>43298</v>
      </c>
      <c r="Z919" s="11">
        <v>45097</v>
      </c>
      <c r="AA919" s="2"/>
      <c r="AB919" s="63" t="s">
        <v>3840</v>
      </c>
      <c r="AC919" s="5" t="s">
        <v>9</v>
      </c>
      <c r="AD919" s="76" t="s">
        <v>4350</v>
      </c>
      <c r="AE919" s="10">
        <v>44397</v>
      </c>
      <c r="AF919" s="23">
        <v>100</v>
      </c>
      <c r="AG919" s="11">
        <v>44489</v>
      </c>
      <c r="AH919" s="5" t="s">
        <v>3</v>
      </c>
      <c r="AI919" s="5" t="s">
        <v>4085</v>
      </c>
      <c r="AJ919" s="5" t="s">
        <v>928</v>
      </c>
      <c r="AK919" s="16" t="s">
        <v>3</v>
      </c>
      <c r="AL919" s="65" t="s">
        <v>929</v>
      </c>
      <c r="AM919" s="31" t="s">
        <v>898</v>
      </c>
    </row>
    <row r="920" spans="2:39" x14ac:dyDescent="0.25">
      <c r="B920" s="18" t="s">
        <v>449</v>
      </c>
      <c r="C920" s="44" t="s">
        <v>1875</v>
      </c>
      <c r="D920" s="20" t="s">
        <v>2605</v>
      </c>
      <c r="E920" s="67" t="s">
        <v>3</v>
      </c>
      <c r="F920" s="51" t="s">
        <v>3</v>
      </c>
      <c r="G920" s="37" t="s">
        <v>1256</v>
      </c>
      <c r="H920" s="68" t="s">
        <v>2715</v>
      </c>
      <c r="I920" s="62" t="s">
        <v>3310</v>
      </c>
      <c r="J920" s="61" t="s">
        <v>250</v>
      </c>
      <c r="K920" s="4">
        <v>12996992</v>
      </c>
      <c r="L920" s="39">
        <v>100.137</v>
      </c>
      <c r="M920" s="4">
        <v>13017761</v>
      </c>
      <c r="N920" s="4">
        <v>13000000</v>
      </c>
      <c r="O920" s="4">
        <v>12997127</v>
      </c>
      <c r="P920" s="4">
        <v>0</v>
      </c>
      <c r="Q920" s="4">
        <v>135</v>
      </c>
      <c r="R920" s="4">
        <v>0</v>
      </c>
      <c r="S920" s="4">
        <v>0</v>
      </c>
      <c r="T920" s="23">
        <v>0.85</v>
      </c>
      <c r="U920" s="23">
        <v>0.85599999999999998</v>
      </c>
      <c r="V920" s="5" t="s">
        <v>415</v>
      </c>
      <c r="W920" s="4">
        <v>5218</v>
      </c>
      <c r="X920" s="4">
        <v>24862</v>
      </c>
      <c r="Y920" s="11">
        <v>44084</v>
      </c>
      <c r="Z920" s="11">
        <v>51970</v>
      </c>
      <c r="AA920" s="2"/>
      <c r="AB920" s="63" t="s">
        <v>3840</v>
      </c>
      <c r="AC920" s="5" t="s">
        <v>9</v>
      </c>
      <c r="AD920" s="76" t="s">
        <v>4350</v>
      </c>
      <c r="AE920" s="11">
        <v>51970</v>
      </c>
      <c r="AF920" s="23">
        <v>100</v>
      </c>
      <c r="AG920" s="11">
        <v>46552</v>
      </c>
      <c r="AH920" s="5" t="s">
        <v>3</v>
      </c>
      <c r="AI920" s="5" t="s">
        <v>444</v>
      </c>
      <c r="AJ920" s="5" t="s">
        <v>928</v>
      </c>
      <c r="AK920" s="16" t="s">
        <v>3</v>
      </c>
      <c r="AL920" s="65" t="s">
        <v>3842</v>
      </c>
      <c r="AM920" s="31" t="s">
        <v>2217</v>
      </c>
    </row>
    <row r="921" spans="2:39" x14ac:dyDescent="0.25">
      <c r="B921" s="18" t="s">
        <v>1514</v>
      </c>
      <c r="C921" s="44" t="s">
        <v>450</v>
      </c>
      <c r="D921" s="20" t="s">
        <v>2605</v>
      </c>
      <c r="E921" s="67" t="s">
        <v>3</v>
      </c>
      <c r="F921" s="51" t="s">
        <v>3</v>
      </c>
      <c r="G921" s="37" t="s">
        <v>1256</v>
      </c>
      <c r="H921" s="68" t="s">
        <v>2715</v>
      </c>
      <c r="I921" s="62" t="s">
        <v>3310</v>
      </c>
      <c r="J921" s="61" t="s">
        <v>250</v>
      </c>
      <c r="K921" s="4">
        <v>3249872</v>
      </c>
      <c r="L921" s="39">
        <v>100.97</v>
      </c>
      <c r="M921" s="4">
        <v>3281539</v>
      </c>
      <c r="N921" s="4">
        <v>3250000</v>
      </c>
      <c r="O921" s="4">
        <v>3249886</v>
      </c>
      <c r="P921" s="4">
        <v>0</v>
      </c>
      <c r="Q921" s="4">
        <v>14</v>
      </c>
      <c r="R921" s="4">
        <v>0</v>
      </c>
      <c r="S921" s="4">
        <v>0</v>
      </c>
      <c r="T921" s="23">
        <v>0.97</v>
      </c>
      <c r="U921" s="23">
        <v>0.97299999999999998</v>
      </c>
      <c r="V921" s="5" t="s">
        <v>415</v>
      </c>
      <c r="W921" s="4">
        <v>1927</v>
      </c>
      <c r="X921" s="4">
        <v>15062</v>
      </c>
      <c r="Y921" s="11">
        <v>43987</v>
      </c>
      <c r="Z921" s="11">
        <v>46486</v>
      </c>
      <c r="AA921" s="2"/>
      <c r="AB921" s="63" t="s">
        <v>3840</v>
      </c>
      <c r="AC921" s="5" t="s">
        <v>9</v>
      </c>
      <c r="AD921" s="76" t="s">
        <v>4350</v>
      </c>
      <c r="AE921" s="11">
        <v>46182</v>
      </c>
      <c r="AF921" s="23">
        <v>100</v>
      </c>
      <c r="AG921" s="11">
        <v>46274</v>
      </c>
      <c r="AH921" s="5" t="s">
        <v>3</v>
      </c>
      <c r="AI921" s="5" t="s">
        <v>444</v>
      </c>
      <c r="AJ921" s="5" t="s">
        <v>928</v>
      </c>
      <c r="AK921" s="16" t="s">
        <v>3</v>
      </c>
      <c r="AL921" s="65" t="s">
        <v>3842</v>
      </c>
      <c r="AM921" s="31" t="s">
        <v>2217</v>
      </c>
    </row>
    <row r="922" spans="2:39" x14ac:dyDescent="0.25">
      <c r="B922" s="18" t="s">
        <v>2609</v>
      </c>
      <c r="C922" s="44" t="s">
        <v>451</v>
      </c>
      <c r="D922" s="20" t="s">
        <v>783</v>
      </c>
      <c r="E922" s="67" t="s">
        <v>3</v>
      </c>
      <c r="F922" s="51" t="s">
        <v>3</v>
      </c>
      <c r="G922" s="37" t="s">
        <v>1256</v>
      </c>
      <c r="H922" s="68" t="s">
        <v>2715</v>
      </c>
      <c r="I922" s="62" t="s">
        <v>3310</v>
      </c>
      <c r="J922" s="61" t="s">
        <v>250</v>
      </c>
      <c r="K922" s="4">
        <v>1999788</v>
      </c>
      <c r="L922" s="39">
        <v>102.28700000000001</v>
      </c>
      <c r="M922" s="4">
        <v>2045734</v>
      </c>
      <c r="N922" s="4">
        <v>2000000</v>
      </c>
      <c r="O922" s="4">
        <v>1999802</v>
      </c>
      <c r="P922" s="4">
        <v>0</v>
      </c>
      <c r="Q922" s="4">
        <v>14</v>
      </c>
      <c r="R922" s="4">
        <v>0</v>
      </c>
      <c r="S922" s="4">
        <v>0</v>
      </c>
      <c r="T922" s="23">
        <v>1.4</v>
      </c>
      <c r="U922" s="23">
        <v>1.4059999999999999</v>
      </c>
      <c r="V922" s="5" t="s">
        <v>415</v>
      </c>
      <c r="W922" s="4">
        <v>1711</v>
      </c>
      <c r="X922" s="4">
        <v>13378</v>
      </c>
      <c r="Y922" s="11">
        <v>43987</v>
      </c>
      <c r="Z922" s="11">
        <v>47704</v>
      </c>
      <c r="AA922" s="2"/>
      <c r="AB922" s="63" t="s">
        <v>3840</v>
      </c>
      <c r="AC922" s="5" t="s">
        <v>9</v>
      </c>
      <c r="AD922" s="76" t="s">
        <v>4350</v>
      </c>
      <c r="AE922" s="11">
        <v>46182</v>
      </c>
      <c r="AF922" s="23">
        <v>100</v>
      </c>
      <c r="AG922" s="11">
        <v>47127</v>
      </c>
      <c r="AH922" s="5" t="s">
        <v>3</v>
      </c>
      <c r="AI922" s="5" t="s">
        <v>444</v>
      </c>
      <c r="AJ922" s="5" t="s">
        <v>444</v>
      </c>
      <c r="AK922" s="16" t="s">
        <v>3</v>
      </c>
      <c r="AL922" s="65" t="s">
        <v>3842</v>
      </c>
      <c r="AM922" s="31" t="s">
        <v>2217</v>
      </c>
    </row>
    <row r="923" spans="2:39" x14ac:dyDescent="0.25">
      <c r="B923" s="18" t="s">
        <v>3720</v>
      </c>
      <c r="C923" s="44" t="s">
        <v>2610</v>
      </c>
      <c r="D923" s="20" t="s">
        <v>1078</v>
      </c>
      <c r="E923" s="67" t="s">
        <v>3</v>
      </c>
      <c r="F923" s="51" t="s">
        <v>3</v>
      </c>
      <c r="G923" s="37" t="s">
        <v>1256</v>
      </c>
      <c r="H923" s="68" t="s">
        <v>2715</v>
      </c>
      <c r="I923" s="62" t="s">
        <v>252</v>
      </c>
      <c r="J923" s="61" t="s">
        <v>250</v>
      </c>
      <c r="K923" s="4">
        <v>2056639</v>
      </c>
      <c r="L923" s="39">
        <v>103.41800000000001</v>
      </c>
      <c r="M923" s="4">
        <v>2126963</v>
      </c>
      <c r="N923" s="4">
        <v>2056658</v>
      </c>
      <c r="O923" s="4">
        <v>2056612</v>
      </c>
      <c r="P923" s="4">
        <v>0</v>
      </c>
      <c r="Q923" s="4">
        <v>-9</v>
      </c>
      <c r="R923" s="4">
        <v>0</v>
      </c>
      <c r="S923" s="4">
        <v>0</v>
      </c>
      <c r="T923" s="23">
        <v>3.3719999999999999</v>
      </c>
      <c r="U923" s="23">
        <v>3.395</v>
      </c>
      <c r="V923" s="5" t="s">
        <v>415</v>
      </c>
      <c r="W923" s="4">
        <v>2119</v>
      </c>
      <c r="X923" s="4">
        <v>69350</v>
      </c>
      <c r="Y923" s="11">
        <v>43049</v>
      </c>
      <c r="Z923" s="11">
        <v>53986</v>
      </c>
      <c r="AA923" s="2"/>
      <c r="AB923" s="63" t="s">
        <v>3840</v>
      </c>
      <c r="AC923" s="5" t="s">
        <v>9</v>
      </c>
      <c r="AD923" s="76" t="s">
        <v>143</v>
      </c>
      <c r="AE923" s="11">
        <v>46680</v>
      </c>
      <c r="AF923" s="23">
        <v>100</v>
      </c>
      <c r="AG923" s="11">
        <v>46680</v>
      </c>
      <c r="AH923" s="5" t="s">
        <v>3</v>
      </c>
      <c r="AI923" s="5" t="s">
        <v>2148</v>
      </c>
      <c r="AJ923" s="5" t="s">
        <v>928</v>
      </c>
      <c r="AK923" s="16" t="s">
        <v>3</v>
      </c>
      <c r="AL923" s="65" t="s">
        <v>2715</v>
      </c>
      <c r="AM923" s="31" t="s">
        <v>898</v>
      </c>
    </row>
    <row r="924" spans="2:39" x14ac:dyDescent="0.25">
      <c r="B924" s="18" t="s">
        <v>784</v>
      </c>
      <c r="C924" s="44" t="s">
        <v>2347</v>
      </c>
      <c r="D924" s="20" t="s">
        <v>1271</v>
      </c>
      <c r="E924" s="67" t="s">
        <v>3</v>
      </c>
      <c r="F924" s="51" t="s">
        <v>3</v>
      </c>
      <c r="G924" s="37" t="s">
        <v>1987</v>
      </c>
      <c r="H924" s="68" t="s">
        <v>2715</v>
      </c>
      <c r="I924" s="62" t="s">
        <v>2218</v>
      </c>
      <c r="J924" s="61" t="s">
        <v>250</v>
      </c>
      <c r="K924" s="4">
        <v>2400000</v>
      </c>
      <c r="L924" s="39">
        <v>100.04300000000001</v>
      </c>
      <c r="M924" s="4">
        <v>2401042</v>
      </c>
      <c r="N924" s="4">
        <v>2400000</v>
      </c>
      <c r="O924" s="4">
        <v>2400000</v>
      </c>
      <c r="P924" s="4">
        <v>0</v>
      </c>
      <c r="Q924" s="4">
        <v>0</v>
      </c>
      <c r="R924" s="4">
        <v>0</v>
      </c>
      <c r="S924" s="4">
        <v>0</v>
      </c>
      <c r="T924" s="23">
        <v>0.89800000000000002</v>
      </c>
      <c r="U924" s="23">
        <v>0.9</v>
      </c>
      <c r="V924" s="5" t="s">
        <v>415</v>
      </c>
      <c r="W924" s="4">
        <v>239</v>
      </c>
      <c r="X924" s="4">
        <v>33962</v>
      </c>
      <c r="Y924" s="11">
        <v>43626</v>
      </c>
      <c r="Z924" s="11">
        <v>45440</v>
      </c>
      <c r="AA924" s="2"/>
      <c r="AB924" s="63" t="s">
        <v>3840</v>
      </c>
      <c r="AC924" s="5" t="s">
        <v>9</v>
      </c>
      <c r="AD924" s="76" t="s">
        <v>1987</v>
      </c>
      <c r="AE924" s="9"/>
      <c r="AF924" s="23"/>
      <c r="AG924" s="11">
        <v>44341</v>
      </c>
      <c r="AH924" s="5" t="s">
        <v>3</v>
      </c>
      <c r="AI924" s="5" t="s">
        <v>162</v>
      </c>
      <c r="AJ924" s="5" t="s">
        <v>928</v>
      </c>
      <c r="AK924" s="16" t="s">
        <v>3</v>
      </c>
      <c r="AL924" s="65" t="s">
        <v>929</v>
      </c>
      <c r="AM924" s="31" t="s">
        <v>1351</v>
      </c>
    </row>
    <row r="925" spans="2:39" x14ac:dyDescent="0.25">
      <c r="B925" s="18" t="s">
        <v>1876</v>
      </c>
      <c r="C925" s="44" t="s">
        <v>1079</v>
      </c>
      <c r="D925" s="20" t="s">
        <v>1271</v>
      </c>
      <c r="E925" s="67" t="s">
        <v>3</v>
      </c>
      <c r="F925" s="51" t="s">
        <v>3</v>
      </c>
      <c r="G925" s="37" t="s">
        <v>1987</v>
      </c>
      <c r="H925" s="68" t="s">
        <v>2715</v>
      </c>
      <c r="I925" s="62" t="s">
        <v>252</v>
      </c>
      <c r="J925" s="61" t="s">
        <v>250</v>
      </c>
      <c r="K925" s="4">
        <v>2300000</v>
      </c>
      <c r="L925" s="39">
        <v>99.962999999999994</v>
      </c>
      <c r="M925" s="4">
        <v>2299150</v>
      </c>
      <c r="N925" s="4">
        <v>2300000</v>
      </c>
      <c r="O925" s="4">
        <v>2300000</v>
      </c>
      <c r="P925" s="4">
        <v>0</v>
      </c>
      <c r="Q925" s="4">
        <v>0</v>
      </c>
      <c r="R925" s="4">
        <v>0</v>
      </c>
      <c r="S925" s="4">
        <v>0</v>
      </c>
      <c r="T925" s="23">
        <v>1.0980000000000001</v>
      </c>
      <c r="U925" s="23">
        <v>1.101</v>
      </c>
      <c r="V925" s="5" t="s">
        <v>415</v>
      </c>
      <c r="W925" s="4">
        <v>281</v>
      </c>
      <c r="X925" s="4">
        <v>37250</v>
      </c>
      <c r="Y925" s="11">
        <v>43626</v>
      </c>
      <c r="Z925" s="11">
        <v>45440</v>
      </c>
      <c r="AA925" s="2"/>
      <c r="AB925" s="63" t="s">
        <v>3840</v>
      </c>
      <c r="AC925" s="5" t="s">
        <v>9</v>
      </c>
      <c r="AD925" s="76" t="s">
        <v>1987</v>
      </c>
      <c r="AE925" s="9"/>
      <c r="AF925" s="23"/>
      <c r="AG925" s="11">
        <v>44341</v>
      </c>
      <c r="AH925" s="5" t="s">
        <v>3</v>
      </c>
      <c r="AI925" s="5" t="s">
        <v>162</v>
      </c>
      <c r="AJ925" s="5" t="s">
        <v>928</v>
      </c>
      <c r="AK925" s="16" t="s">
        <v>3</v>
      </c>
      <c r="AL925" s="65" t="s">
        <v>929</v>
      </c>
      <c r="AM925" s="31" t="s">
        <v>898</v>
      </c>
    </row>
    <row r="926" spans="2:39" x14ac:dyDescent="0.25">
      <c r="B926" s="18" t="s">
        <v>2966</v>
      </c>
      <c r="C926" s="44" t="s">
        <v>3456</v>
      </c>
      <c r="D926" s="20" t="s">
        <v>1271</v>
      </c>
      <c r="E926" s="67" t="s">
        <v>3</v>
      </c>
      <c r="F926" s="51" t="s">
        <v>3</v>
      </c>
      <c r="G926" s="37" t="s">
        <v>1987</v>
      </c>
      <c r="H926" s="68" t="s">
        <v>2715</v>
      </c>
      <c r="I926" s="62" t="s">
        <v>2218</v>
      </c>
      <c r="J926" s="61" t="s">
        <v>250</v>
      </c>
      <c r="K926" s="4">
        <v>1693000</v>
      </c>
      <c r="L926" s="39">
        <v>100.80200000000001</v>
      </c>
      <c r="M926" s="4">
        <v>1706570</v>
      </c>
      <c r="N926" s="4">
        <v>1693000</v>
      </c>
      <c r="O926" s="4">
        <v>1693000</v>
      </c>
      <c r="P926" s="4">
        <v>0</v>
      </c>
      <c r="Q926" s="4">
        <v>0</v>
      </c>
      <c r="R926" s="4">
        <v>0</v>
      </c>
      <c r="S926" s="4">
        <v>0</v>
      </c>
      <c r="T926" s="23">
        <v>1.498</v>
      </c>
      <c r="U926" s="23">
        <v>1.5029999999999999</v>
      </c>
      <c r="V926" s="5" t="s">
        <v>415</v>
      </c>
      <c r="W926" s="4">
        <v>493</v>
      </c>
      <c r="X926" s="4">
        <v>10705</v>
      </c>
      <c r="Y926" s="11">
        <v>44029</v>
      </c>
      <c r="Z926" s="11">
        <v>45863</v>
      </c>
      <c r="AA926" s="2"/>
      <c r="AB926" s="63" t="s">
        <v>3840</v>
      </c>
      <c r="AC926" s="5" t="s">
        <v>9</v>
      </c>
      <c r="AD926" s="76" t="s">
        <v>1987</v>
      </c>
      <c r="AE926" s="9"/>
      <c r="AF926" s="23"/>
      <c r="AG926" s="11">
        <v>44767</v>
      </c>
      <c r="AH926" s="5" t="s">
        <v>3</v>
      </c>
      <c r="AI926" s="5" t="s">
        <v>162</v>
      </c>
      <c r="AJ926" s="5" t="s">
        <v>928</v>
      </c>
      <c r="AK926" s="16" t="s">
        <v>3</v>
      </c>
      <c r="AL926" s="65" t="s">
        <v>929</v>
      </c>
      <c r="AM926" s="31" t="s">
        <v>1351</v>
      </c>
    </row>
    <row r="927" spans="2:39" x14ac:dyDescent="0.25">
      <c r="B927" s="18" t="s">
        <v>4086</v>
      </c>
      <c r="C927" s="44" t="s">
        <v>2149</v>
      </c>
      <c r="D927" s="20" t="s">
        <v>1271</v>
      </c>
      <c r="E927" s="67" t="s">
        <v>3</v>
      </c>
      <c r="F927" s="51" t="s">
        <v>3</v>
      </c>
      <c r="G927" s="37" t="s">
        <v>1987</v>
      </c>
      <c r="H927" s="68" t="s">
        <v>2715</v>
      </c>
      <c r="I927" s="62" t="s">
        <v>252</v>
      </c>
      <c r="J927" s="61" t="s">
        <v>250</v>
      </c>
      <c r="K927" s="4">
        <v>1000000</v>
      </c>
      <c r="L927" s="39">
        <v>100.816</v>
      </c>
      <c r="M927" s="4">
        <v>1008164</v>
      </c>
      <c r="N927" s="4">
        <v>1000000</v>
      </c>
      <c r="O927" s="4">
        <v>1000000</v>
      </c>
      <c r="P927" s="4">
        <v>0</v>
      </c>
      <c r="Q927" s="4">
        <v>0</v>
      </c>
      <c r="R927" s="4">
        <v>0</v>
      </c>
      <c r="S927" s="4">
        <v>0</v>
      </c>
      <c r="T927" s="23">
        <v>2.298</v>
      </c>
      <c r="U927" s="23">
        <v>2.3090000000000002</v>
      </c>
      <c r="V927" s="5" t="s">
        <v>415</v>
      </c>
      <c r="W927" s="4">
        <v>447</v>
      </c>
      <c r="X927" s="4">
        <v>9679</v>
      </c>
      <c r="Y927" s="11">
        <v>44029</v>
      </c>
      <c r="Z927" s="11">
        <v>45863</v>
      </c>
      <c r="AA927" s="2"/>
      <c r="AB927" s="63" t="s">
        <v>3840</v>
      </c>
      <c r="AC927" s="5" t="s">
        <v>9</v>
      </c>
      <c r="AD927" s="76" t="s">
        <v>1987</v>
      </c>
      <c r="AE927" s="6"/>
      <c r="AF927" s="23"/>
      <c r="AG927" s="11">
        <v>44767</v>
      </c>
      <c r="AH927" s="5" t="s">
        <v>3</v>
      </c>
      <c r="AI927" s="5" t="s">
        <v>162</v>
      </c>
      <c r="AJ927" s="5" t="s">
        <v>928</v>
      </c>
      <c r="AK927" s="16" t="s">
        <v>3</v>
      </c>
      <c r="AL927" s="65" t="s">
        <v>929</v>
      </c>
      <c r="AM927" s="31" t="s">
        <v>898</v>
      </c>
    </row>
    <row r="928" spans="2:39" x14ac:dyDescent="0.25">
      <c r="B928" s="18" t="s">
        <v>785</v>
      </c>
      <c r="C928" s="44" t="s">
        <v>2150</v>
      </c>
      <c r="D928" s="20" t="s">
        <v>1271</v>
      </c>
      <c r="E928" s="67" t="s">
        <v>3</v>
      </c>
      <c r="F928" s="51" t="s">
        <v>3</v>
      </c>
      <c r="G928" s="37" t="s">
        <v>1987</v>
      </c>
      <c r="H928" s="68" t="s">
        <v>3842</v>
      </c>
      <c r="I928" s="62" t="s">
        <v>1157</v>
      </c>
      <c r="J928" s="61" t="s">
        <v>250</v>
      </c>
      <c r="K928" s="4">
        <v>3300000</v>
      </c>
      <c r="L928" s="39">
        <v>100.843</v>
      </c>
      <c r="M928" s="4">
        <v>3327809</v>
      </c>
      <c r="N928" s="4">
        <v>3300000</v>
      </c>
      <c r="O928" s="4">
        <v>3300000</v>
      </c>
      <c r="P928" s="4">
        <v>0</v>
      </c>
      <c r="Q928" s="4">
        <v>0</v>
      </c>
      <c r="R928" s="4">
        <v>0</v>
      </c>
      <c r="S928" s="4">
        <v>0</v>
      </c>
      <c r="T928" s="23">
        <v>3.048</v>
      </c>
      <c r="U928" s="23">
        <v>3.0670000000000002</v>
      </c>
      <c r="V928" s="5" t="s">
        <v>415</v>
      </c>
      <c r="W928" s="4">
        <v>1956</v>
      </c>
      <c r="X928" s="4">
        <v>42322</v>
      </c>
      <c r="Y928" s="11">
        <v>44029</v>
      </c>
      <c r="Z928" s="11">
        <v>45863</v>
      </c>
      <c r="AA928" s="2"/>
      <c r="AB928" s="63" t="s">
        <v>3840</v>
      </c>
      <c r="AC928" s="5" t="s">
        <v>9</v>
      </c>
      <c r="AD928" s="76" t="s">
        <v>1987</v>
      </c>
      <c r="AE928" s="9"/>
      <c r="AF928" s="23"/>
      <c r="AG928" s="11">
        <v>44767</v>
      </c>
      <c r="AH928" s="5" t="s">
        <v>3</v>
      </c>
      <c r="AI928" s="5" t="s">
        <v>162</v>
      </c>
      <c r="AJ928" s="5" t="s">
        <v>928</v>
      </c>
      <c r="AK928" s="16" t="s">
        <v>3</v>
      </c>
      <c r="AL928" s="65" t="s">
        <v>929</v>
      </c>
      <c r="AM928" s="31" t="s">
        <v>926</v>
      </c>
    </row>
    <row r="929" spans="2:39" x14ac:dyDescent="0.25">
      <c r="B929" s="18" t="s">
        <v>1877</v>
      </c>
      <c r="C929" s="44" t="s">
        <v>4087</v>
      </c>
      <c r="D929" s="20" t="s">
        <v>2151</v>
      </c>
      <c r="E929" s="67" t="s">
        <v>3</v>
      </c>
      <c r="F929" s="51" t="s">
        <v>3</v>
      </c>
      <c r="G929" s="37" t="s">
        <v>1987</v>
      </c>
      <c r="H929" s="68" t="s">
        <v>2715</v>
      </c>
      <c r="I929" s="62" t="s">
        <v>3310</v>
      </c>
      <c r="J929" s="61" t="s">
        <v>250</v>
      </c>
      <c r="K929" s="4">
        <v>2999644</v>
      </c>
      <c r="L929" s="39">
        <v>100.328</v>
      </c>
      <c r="M929" s="4">
        <v>3009845</v>
      </c>
      <c r="N929" s="4">
        <v>3000000</v>
      </c>
      <c r="O929" s="4">
        <v>2999725</v>
      </c>
      <c r="P929" s="4">
        <v>0</v>
      </c>
      <c r="Q929" s="4">
        <v>32</v>
      </c>
      <c r="R929" s="4">
        <v>0</v>
      </c>
      <c r="S929" s="4">
        <v>0</v>
      </c>
      <c r="T929" s="23">
        <v>3.22</v>
      </c>
      <c r="U929" s="23">
        <v>3.2429999999999999</v>
      </c>
      <c r="V929" s="5" t="s">
        <v>415</v>
      </c>
      <c r="W929" s="4">
        <v>4293</v>
      </c>
      <c r="X929" s="4">
        <v>96600</v>
      </c>
      <c r="Y929" s="11">
        <v>43165</v>
      </c>
      <c r="Z929" s="11">
        <v>44972</v>
      </c>
      <c r="AA929" s="2"/>
      <c r="AB929" s="63" t="s">
        <v>3840</v>
      </c>
      <c r="AC929" s="5" t="s">
        <v>9</v>
      </c>
      <c r="AD929" s="76" t="s">
        <v>143</v>
      </c>
      <c r="AE929" s="9"/>
      <c r="AF929" s="23"/>
      <c r="AG929" s="11">
        <v>44242</v>
      </c>
      <c r="AH929" s="5" t="s">
        <v>3</v>
      </c>
      <c r="AI929" s="5" t="s">
        <v>163</v>
      </c>
      <c r="AJ929" s="5" t="s">
        <v>928</v>
      </c>
      <c r="AK929" s="16" t="s">
        <v>3</v>
      </c>
      <c r="AL929" s="65" t="s">
        <v>3842</v>
      </c>
      <c r="AM929" s="31" t="s">
        <v>2217</v>
      </c>
    </row>
    <row r="930" spans="2:39" x14ac:dyDescent="0.25">
      <c r="B930" s="18" t="s">
        <v>3721</v>
      </c>
      <c r="C930" s="44" t="s">
        <v>3722</v>
      </c>
      <c r="D930" s="20" t="s">
        <v>2967</v>
      </c>
      <c r="E930" s="67" t="s">
        <v>3</v>
      </c>
      <c r="F930" s="51" t="s">
        <v>3</v>
      </c>
      <c r="G930" s="37" t="s">
        <v>1256</v>
      </c>
      <c r="H930" s="68" t="s">
        <v>2715</v>
      </c>
      <c r="I930" s="62" t="s">
        <v>252</v>
      </c>
      <c r="J930" s="61" t="s">
        <v>250</v>
      </c>
      <c r="K930" s="4">
        <v>3519091</v>
      </c>
      <c r="L930" s="39">
        <v>101.283</v>
      </c>
      <c r="M930" s="4">
        <v>3653571</v>
      </c>
      <c r="N930" s="4">
        <v>3607300</v>
      </c>
      <c r="O930" s="4">
        <v>3546354</v>
      </c>
      <c r="P930" s="4">
        <v>0</v>
      </c>
      <c r="Q930" s="4">
        <v>12810</v>
      </c>
      <c r="R930" s="4">
        <v>0</v>
      </c>
      <c r="S930" s="4">
        <v>0</v>
      </c>
      <c r="T930" s="23">
        <v>2.61</v>
      </c>
      <c r="U930" s="23">
        <v>3.395</v>
      </c>
      <c r="V930" s="5" t="s">
        <v>415</v>
      </c>
      <c r="W930" s="4">
        <v>6015</v>
      </c>
      <c r="X930" s="4">
        <v>94151</v>
      </c>
      <c r="Y930" s="11">
        <v>43440</v>
      </c>
      <c r="Z930" s="11">
        <v>47185</v>
      </c>
      <c r="AA930" s="2"/>
      <c r="AB930" s="63" t="s">
        <v>3840</v>
      </c>
      <c r="AC930" s="5" t="s">
        <v>9</v>
      </c>
      <c r="AD930" s="76" t="s">
        <v>143</v>
      </c>
      <c r="AE930" s="10">
        <v>45085</v>
      </c>
      <c r="AF930" s="23">
        <v>100</v>
      </c>
      <c r="AG930" s="11">
        <v>45846</v>
      </c>
      <c r="AH930" s="5" t="s">
        <v>3</v>
      </c>
      <c r="AI930" s="5" t="s">
        <v>3237</v>
      </c>
      <c r="AJ930" s="5" t="s">
        <v>928</v>
      </c>
      <c r="AK930" s="16" t="s">
        <v>3</v>
      </c>
      <c r="AL930" s="65" t="s">
        <v>2715</v>
      </c>
      <c r="AM930" s="31" t="s">
        <v>898</v>
      </c>
    </row>
    <row r="931" spans="2:39" x14ac:dyDescent="0.25">
      <c r="B931" s="18" t="s">
        <v>452</v>
      </c>
      <c r="C931" s="44" t="s">
        <v>3723</v>
      </c>
      <c r="D931" s="20" t="s">
        <v>2967</v>
      </c>
      <c r="E931" s="67" t="s">
        <v>3</v>
      </c>
      <c r="F931" s="51" t="s">
        <v>3</v>
      </c>
      <c r="G931" s="37" t="s">
        <v>1256</v>
      </c>
      <c r="H931" s="68" t="s">
        <v>3842</v>
      </c>
      <c r="I931" s="62" t="s">
        <v>10</v>
      </c>
      <c r="J931" s="61" t="s">
        <v>250</v>
      </c>
      <c r="K931" s="4">
        <v>1942258</v>
      </c>
      <c r="L931" s="39">
        <v>100.078</v>
      </c>
      <c r="M931" s="4">
        <v>1957227</v>
      </c>
      <c r="N931" s="4">
        <v>1955703</v>
      </c>
      <c r="O931" s="4">
        <v>1942735</v>
      </c>
      <c r="P931" s="4">
        <v>0</v>
      </c>
      <c r="Q931" s="4">
        <v>478</v>
      </c>
      <c r="R931" s="4">
        <v>0</v>
      </c>
      <c r="S931" s="4">
        <v>0</v>
      </c>
      <c r="T931" s="23">
        <v>2.91</v>
      </c>
      <c r="U931" s="23">
        <v>3.2290000000000001</v>
      </c>
      <c r="V931" s="5" t="s">
        <v>415</v>
      </c>
      <c r="W931" s="4">
        <v>3636</v>
      </c>
      <c r="X931" s="4">
        <v>9485</v>
      </c>
      <c r="Y931" s="11">
        <v>44132</v>
      </c>
      <c r="Z931" s="11">
        <v>47185</v>
      </c>
      <c r="AA931" s="2"/>
      <c r="AB931" s="63" t="s">
        <v>3840</v>
      </c>
      <c r="AC931" s="5" t="s">
        <v>9</v>
      </c>
      <c r="AD931" s="76" t="s">
        <v>143</v>
      </c>
      <c r="AE931" s="10">
        <v>44781</v>
      </c>
      <c r="AF931" s="23">
        <v>100</v>
      </c>
      <c r="AG931" s="10">
        <v>45846</v>
      </c>
      <c r="AH931" s="5" t="s">
        <v>3</v>
      </c>
      <c r="AI931" s="5" t="s">
        <v>3237</v>
      </c>
      <c r="AJ931" s="5" t="s">
        <v>928</v>
      </c>
      <c r="AK931" s="16" t="s">
        <v>3</v>
      </c>
      <c r="AL931" s="65" t="s">
        <v>2715</v>
      </c>
      <c r="AM931" s="31" t="s">
        <v>1176</v>
      </c>
    </row>
    <row r="932" spans="2:39" x14ac:dyDescent="0.25">
      <c r="B932" s="18" t="s">
        <v>1515</v>
      </c>
      <c r="C932" s="44" t="s">
        <v>1272</v>
      </c>
      <c r="D932" s="20" t="s">
        <v>2967</v>
      </c>
      <c r="E932" s="67" t="s">
        <v>3</v>
      </c>
      <c r="F932" s="51" t="s">
        <v>3</v>
      </c>
      <c r="G932" s="37" t="s">
        <v>1256</v>
      </c>
      <c r="H932" s="68" t="s">
        <v>2715</v>
      </c>
      <c r="I932" s="62" t="s">
        <v>252</v>
      </c>
      <c r="J932" s="61" t="s">
        <v>250</v>
      </c>
      <c r="K932" s="4">
        <v>3010273</v>
      </c>
      <c r="L932" s="39">
        <v>103.499</v>
      </c>
      <c r="M932" s="4">
        <v>3116020</v>
      </c>
      <c r="N932" s="4">
        <v>3010677</v>
      </c>
      <c r="O932" s="4">
        <v>3010308</v>
      </c>
      <c r="P932" s="4">
        <v>0</v>
      </c>
      <c r="Q932" s="4">
        <v>20</v>
      </c>
      <c r="R932" s="4">
        <v>0</v>
      </c>
      <c r="S932" s="4">
        <v>0</v>
      </c>
      <c r="T932" s="23">
        <v>3.36</v>
      </c>
      <c r="U932" s="23">
        <v>3.3860000000000001</v>
      </c>
      <c r="V932" s="5" t="s">
        <v>415</v>
      </c>
      <c r="W932" s="4">
        <v>6182</v>
      </c>
      <c r="X932" s="4">
        <v>101159</v>
      </c>
      <c r="Y932" s="11">
        <v>43606</v>
      </c>
      <c r="Z932" s="11">
        <v>50504</v>
      </c>
      <c r="AA932" s="2"/>
      <c r="AB932" s="63" t="s">
        <v>3840</v>
      </c>
      <c r="AC932" s="5" t="s">
        <v>9</v>
      </c>
      <c r="AD932" s="76" t="s">
        <v>1987</v>
      </c>
      <c r="AE932" s="10">
        <v>46304</v>
      </c>
      <c r="AF932" s="23">
        <v>100</v>
      </c>
      <c r="AG932" s="10">
        <v>47066</v>
      </c>
      <c r="AH932" s="5" t="s">
        <v>3</v>
      </c>
      <c r="AI932" s="5" t="s">
        <v>3237</v>
      </c>
      <c r="AJ932" s="5" t="s">
        <v>928</v>
      </c>
      <c r="AK932" s="16" t="s">
        <v>3</v>
      </c>
      <c r="AL932" s="65" t="s">
        <v>929</v>
      </c>
      <c r="AM932" s="31" t="s">
        <v>898</v>
      </c>
    </row>
    <row r="933" spans="2:39" x14ac:dyDescent="0.25">
      <c r="B933" s="18" t="s">
        <v>2968</v>
      </c>
      <c r="C933" s="44" t="s">
        <v>2152</v>
      </c>
      <c r="D933" s="20" t="s">
        <v>1516</v>
      </c>
      <c r="E933" s="67" t="s">
        <v>3</v>
      </c>
      <c r="F933" s="51" t="s">
        <v>3</v>
      </c>
      <c r="G933" s="37" t="s">
        <v>1987</v>
      </c>
      <c r="H933" s="68" t="s">
        <v>2715</v>
      </c>
      <c r="I933" s="62" t="s">
        <v>252</v>
      </c>
      <c r="J933" s="61" t="s">
        <v>250</v>
      </c>
      <c r="K933" s="4">
        <v>2000000</v>
      </c>
      <c r="L933" s="39">
        <v>103.462</v>
      </c>
      <c r="M933" s="4">
        <v>2069248</v>
      </c>
      <c r="N933" s="4">
        <v>2000000</v>
      </c>
      <c r="O933" s="4">
        <v>2000000</v>
      </c>
      <c r="P933" s="4">
        <v>0</v>
      </c>
      <c r="Q933" s="4">
        <v>0</v>
      </c>
      <c r="R933" s="4">
        <v>0</v>
      </c>
      <c r="S933" s="4">
        <v>0</v>
      </c>
      <c r="T933" s="23">
        <v>4.4589999999999996</v>
      </c>
      <c r="U933" s="23">
        <v>4.4989999999999997</v>
      </c>
      <c r="V933" s="5" t="s">
        <v>415</v>
      </c>
      <c r="W933" s="4">
        <v>3964</v>
      </c>
      <c r="X933" s="4">
        <v>89180</v>
      </c>
      <c r="Y933" s="11">
        <v>43494</v>
      </c>
      <c r="Z933" s="11">
        <v>46433</v>
      </c>
      <c r="AA933" s="2"/>
      <c r="AB933" s="63" t="s">
        <v>3840</v>
      </c>
      <c r="AC933" s="5" t="s">
        <v>9</v>
      </c>
      <c r="AD933" s="76" t="s">
        <v>143</v>
      </c>
      <c r="AE933" s="6"/>
      <c r="AF933" s="23"/>
      <c r="AG933" s="11">
        <v>45366</v>
      </c>
      <c r="AH933" s="5" t="s">
        <v>3</v>
      </c>
      <c r="AI933" s="5" t="s">
        <v>1517</v>
      </c>
      <c r="AJ933" s="5" t="s">
        <v>928</v>
      </c>
      <c r="AK933" s="16" t="s">
        <v>3</v>
      </c>
      <c r="AL933" s="65" t="s">
        <v>3842</v>
      </c>
      <c r="AM933" s="31" t="s">
        <v>898</v>
      </c>
    </row>
    <row r="934" spans="2:39" x14ac:dyDescent="0.25">
      <c r="B934" s="18" t="s">
        <v>4088</v>
      </c>
      <c r="C934" s="44" t="s">
        <v>453</v>
      </c>
      <c r="D934" s="20" t="s">
        <v>164</v>
      </c>
      <c r="E934" s="67" t="s">
        <v>3</v>
      </c>
      <c r="F934" s="51" t="s">
        <v>3</v>
      </c>
      <c r="G934" s="37" t="s">
        <v>3445</v>
      </c>
      <c r="H934" s="68" t="s">
        <v>2715</v>
      </c>
      <c r="I934" s="62" t="s">
        <v>252</v>
      </c>
      <c r="J934" s="61" t="s">
        <v>250</v>
      </c>
      <c r="K934" s="4">
        <v>7000000</v>
      </c>
      <c r="L934" s="39">
        <v>106.465</v>
      </c>
      <c r="M934" s="4">
        <v>7452542</v>
      </c>
      <c r="N934" s="4">
        <v>7000000</v>
      </c>
      <c r="O934" s="4">
        <v>7000000</v>
      </c>
      <c r="P934" s="4">
        <v>0</v>
      </c>
      <c r="Q934" s="4">
        <v>0</v>
      </c>
      <c r="R934" s="4">
        <v>0</v>
      </c>
      <c r="S934" s="4">
        <v>0</v>
      </c>
      <c r="T934" s="23">
        <v>2.8359999999999999</v>
      </c>
      <c r="U934" s="23">
        <v>2.8530000000000002</v>
      </c>
      <c r="V934" s="5" t="s">
        <v>415</v>
      </c>
      <c r="W934" s="4">
        <v>8823</v>
      </c>
      <c r="X934" s="4">
        <v>197969</v>
      </c>
      <c r="Y934" s="11">
        <v>43718</v>
      </c>
      <c r="Z934" s="11">
        <v>45672</v>
      </c>
      <c r="AA934" s="2"/>
      <c r="AB934" s="63" t="s">
        <v>3840</v>
      </c>
      <c r="AC934" s="5" t="s">
        <v>9</v>
      </c>
      <c r="AD934" s="76" t="s">
        <v>143</v>
      </c>
      <c r="AE934" s="6"/>
      <c r="AF934" s="23"/>
      <c r="AG934" s="9"/>
      <c r="AH934" s="5" t="s">
        <v>3</v>
      </c>
      <c r="AI934" s="5" t="s">
        <v>2153</v>
      </c>
      <c r="AJ934" s="5" t="s">
        <v>928</v>
      </c>
      <c r="AK934" s="16" t="s">
        <v>3</v>
      </c>
      <c r="AL934" s="65" t="s">
        <v>2715</v>
      </c>
      <c r="AM934" s="31" t="s">
        <v>898</v>
      </c>
    </row>
    <row r="935" spans="2:39" x14ac:dyDescent="0.25">
      <c r="B935" s="18" t="s">
        <v>786</v>
      </c>
      <c r="C935" s="44" t="s">
        <v>1878</v>
      </c>
      <c r="D935" s="20" t="s">
        <v>164</v>
      </c>
      <c r="E935" s="67" t="s">
        <v>3</v>
      </c>
      <c r="F935" s="51" t="s">
        <v>3</v>
      </c>
      <c r="G935" s="37" t="s">
        <v>1987</v>
      </c>
      <c r="H935" s="68" t="s">
        <v>2715</v>
      </c>
      <c r="I935" s="62" t="s">
        <v>252</v>
      </c>
      <c r="J935" s="61" t="s">
        <v>250</v>
      </c>
      <c r="K935" s="4">
        <v>4000000</v>
      </c>
      <c r="L935" s="39">
        <v>102.922</v>
      </c>
      <c r="M935" s="4">
        <v>4116894</v>
      </c>
      <c r="N935" s="4">
        <v>4000000</v>
      </c>
      <c r="O935" s="4">
        <v>4000000</v>
      </c>
      <c r="P935" s="4">
        <v>0</v>
      </c>
      <c r="Q935" s="4">
        <v>0</v>
      </c>
      <c r="R935" s="4">
        <v>0</v>
      </c>
      <c r="S935" s="4">
        <v>0</v>
      </c>
      <c r="T935" s="23">
        <v>1.8839999999999999</v>
      </c>
      <c r="U935" s="23">
        <v>1.89</v>
      </c>
      <c r="V935" s="5" t="s">
        <v>415</v>
      </c>
      <c r="W935" s="4">
        <v>3349</v>
      </c>
      <c r="X935" s="4">
        <v>31609</v>
      </c>
      <c r="Y935" s="11">
        <v>44020</v>
      </c>
      <c r="Z935" s="11">
        <v>46037</v>
      </c>
      <c r="AA935" s="2"/>
      <c r="AB935" s="63" t="s">
        <v>3840</v>
      </c>
      <c r="AC935" s="5" t="s">
        <v>9</v>
      </c>
      <c r="AD935" s="76" t="s">
        <v>143</v>
      </c>
      <c r="AE935" s="9"/>
      <c r="AF935" s="23"/>
      <c r="AG935" s="9"/>
      <c r="AH935" s="5" t="s">
        <v>3</v>
      </c>
      <c r="AI935" s="5" t="s">
        <v>2153</v>
      </c>
      <c r="AJ935" s="5" t="s">
        <v>928</v>
      </c>
      <c r="AK935" s="16" t="s">
        <v>3</v>
      </c>
      <c r="AL935" s="65" t="s">
        <v>2715</v>
      </c>
      <c r="AM935" s="31" t="s">
        <v>898</v>
      </c>
    </row>
    <row r="936" spans="2:39" x14ac:dyDescent="0.25">
      <c r="B936" s="18" t="s">
        <v>1879</v>
      </c>
      <c r="C936" s="44" t="s">
        <v>1518</v>
      </c>
      <c r="D936" s="20" t="s">
        <v>164</v>
      </c>
      <c r="E936" s="67" t="s">
        <v>3</v>
      </c>
      <c r="F936" s="51" t="s">
        <v>3</v>
      </c>
      <c r="G936" s="37" t="s">
        <v>1987</v>
      </c>
      <c r="H936" s="68" t="s">
        <v>2715</v>
      </c>
      <c r="I936" s="62" t="s">
        <v>252</v>
      </c>
      <c r="J936" s="61" t="s">
        <v>250</v>
      </c>
      <c r="K936" s="4">
        <v>3500000</v>
      </c>
      <c r="L936" s="39">
        <v>100.792</v>
      </c>
      <c r="M936" s="4">
        <v>3527711</v>
      </c>
      <c r="N936" s="4">
        <v>3500000</v>
      </c>
      <c r="O936" s="4">
        <v>3500000</v>
      </c>
      <c r="P936" s="4">
        <v>0</v>
      </c>
      <c r="Q936" s="4">
        <v>0</v>
      </c>
      <c r="R936" s="4">
        <v>0</v>
      </c>
      <c r="S936" s="4">
        <v>0</v>
      </c>
      <c r="T936" s="23">
        <v>2.3279999999999998</v>
      </c>
      <c r="U936" s="23">
        <v>2.339</v>
      </c>
      <c r="V936" s="5" t="s">
        <v>415</v>
      </c>
      <c r="W936" s="4">
        <v>3621</v>
      </c>
      <c r="X936" s="4">
        <v>34176</v>
      </c>
      <c r="Y936" s="11">
        <v>44020</v>
      </c>
      <c r="Z936" s="11">
        <v>46767</v>
      </c>
      <c r="AA936" s="2"/>
      <c r="AB936" s="63" t="s">
        <v>3840</v>
      </c>
      <c r="AC936" s="5" t="s">
        <v>9</v>
      </c>
      <c r="AD936" s="76" t="s">
        <v>143</v>
      </c>
      <c r="AE936" s="9"/>
      <c r="AF936" s="23"/>
      <c r="AG936" s="9"/>
      <c r="AH936" s="5" t="s">
        <v>3</v>
      </c>
      <c r="AI936" s="5" t="s">
        <v>2153</v>
      </c>
      <c r="AJ936" s="5" t="s">
        <v>928</v>
      </c>
      <c r="AK936" s="16" t="s">
        <v>3</v>
      </c>
      <c r="AL936" s="65" t="s">
        <v>2715</v>
      </c>
      <c r="AM936" s="31" t="s">
        <v>898</v>
      </c>
    </row>
    <row r="937" spans="2:39" x14ac:dyDescent="0.25">
      <c r="B937" s="18" t="s">
        <v>2969</v>
      </c>
      <c r="C937" s="44" t="s">
        <v>3457</v>
      </c>
      <c r="D937" s="20" t="s">
        <v>3724</v>
      </c>
      <c r="E937" s="67" t="s">
        <v>3</v>
      </c>
      <c r="F937" s="51" t="s">
        <v>3</v>
      </c>
      <c r="G937" s="37" t="s">
        <v>3445</v>
      </c>
      <c r="H937" s="68" t="s">
        <v>2715</v>
      </c>
      <c r="I937" s="62" t="s">
        <v>252</v>
      </c>
      <c r="J937" s="61" t="s">
        <v>250</v>
      </c>
      <c r="K937" s="4">
        <v>6333387</v>
      </c>
      <c r="L937" s="39">
        <v>101.15600000000001</v>
      </c>
      <c r="M937" s="4">
        <v>6403566</v>
      </c>
      <c r="N937" s="4">
        <v>6330393</v>
      </c>
      <c r="O937" s="4">
        <v>6333230</v>
      </c>
      <c r="P937" s="4">
        <v>0</v>
      </c>
      <c r="Q937" s="4">
        <v>-157</v>
      </c>
      <c r="R937" s="4">
        <v>0</v>
      </c>
      <c r="S937" s="4">
        <v>0</v>
      </c>
      <c r="T937" s="23">
        <v>2.3199999999999998</v>
      </c>
      <c r="U937" s="23">
        <v>2.3199999999999998</v>
      </c>
      <c r="V937" s="5" t="s">
        <v>415</v>
      </c>
      <c r="W937" s="4">
        <v>4488</v>
      </c>
      <c r="X937" s="4">
        <v>52627</v>
      </c>
      <c r="Y937" s="11">
        <v>44050</v>
      </c>
      <c r="Z937" s="11">
        <v>50241</v>
      </c>
      <c r="AA937" s="2"/>
      <c r="AB937" s="63" t="s">
        <v>3840</v>
      </c>
      <c r="AC937" s="5" t="s">
        <v>9</v>
      </c>
      <c r="AD937" s="76" t="s">
        <v>1987</v>
      </c>
      <c r="AE937" s="11">
        <v>46680</v>
      </c>
      <c r="AF937" s="23">
        <v>100</v>
      </c>
      <c r="AG937" s="11">
        <v>46985</v>
      </c>
      <c r="AH937" s="5" t="s">
        <v>3</v>
      </c>
      <c r="AI937" s="5" t="s">
        <v>4089</v>
      </c>
      <c r="AJ937" s="5" t="s">
        <v>928</v>
      </c>
      <c r="AK937" s="16" t="s">
        <v>3</v>
      </c>
      <c r="AL937" s="65" t="s">
        <v>929</v>
      </c>
      <c r="AM937" s="31" t="s">
        <v>898</v>
      </c>
    </row>
    <row r="938" spans="2:39" x14ac:dyDescent="0.25">
      <c r="B938" s="18" t="s">
        <v>4090</v>
      </c>
      <c r="C938" s="44" t="s">
        <v>1880</v>
      </c>
      <c r="D938" s="20" t="s">
        <v>3724</v>
      </c>
      <c r="E938" s="67" t="s">
        <v>3</v>
      </c>
      <c r="F938" s="51" t="s">
        <v>3</v>
      </c>
      <c r="G938" s="37" t="s">
        <v>1256</v>
      </c>
      <c r="H938" s="68" t="s">
        <v>2715</v>
      </c>
      <c r="I938" s="62" t="s">
        <v>252</v>
      </c>
      <c r="J938" s="61" t="s">
        <v>250</v>
      </c>
      <c r="K938" s="4">
        <v>2479277</v>
      </c>
      <c r="L938" s="39">
        <v>102.056</v>
      </c>
      <c r="M938" s="4">
        <v>2530723</v>
      </c>
      <c r="N938" s="4">
        <v>2479749</v>
      </c>
      <c r="O938" s="4">
        <v>2479337</v>
      </c>
      <c r="P938" s="4">
        <v>0</v>
      </c>
      <c r="Q938" s="4">
        <v>41</v>
      </c>
      <c r="R938" s="4">
        <v>0</v>
      </c>
      <c r="S938" s="4">
        <v>0</v>
      </c>
      <c r="T938" s="23">
        <v>2.82</v>
      </c>
      <c r="U938" s="23">
        <v>2.8410000000000002</v>
      </c>
      <c r="V938" s="5" t="s">
        <v>415</v>
      </c>
      <c r="W938" s="4">
        <v>2137</v>
      </c>
      <c r="X938" s="4">
        <v>69929</v>
      </c>
      <c r="Y938" s="11">
        <v>43662</v>
      </c>
      <c r="Z938" s="11">
        <v>49815</v>
      </c>
      <c r="AA938" s="2"/>
      <c r="AB938" s="63" t="s">
        <v>3840</v>
      </c>
      <c r="AC938" s="5" t="s">
        <v>9</v>
      </c>
      <c r="AD938" s="76" t="s">
        <v>1987</v>
      </c>
      <c r="AE938" s="11">
        <v>46346</v>
      </c>
      <c r="AF938" s="23">
        <v>100</v>
      </c>
      <c r="AG938" s="11">
        <v>46497</v>
      </c>
      <c r="AH938" s="5" t="s">
        <v>3</v>
      </c>
      <c r="AI938" s="5" t="s">
        <v>4089</v>
      </c>
      <c r="AJ938" s="5" t="s">
        <v>928</v>
      </c>
      <c r="AK938" s="16" t="s">
        <v>3</v>
      </c>
      <c r="AL938" s="65" t="s">
        <v>929</v>
      </c>
      <c r="AM938" s="31" t="s">
        <v>898</v>
      </c>
    </row>
    <row r="939" spans="2:39" x14ac:dyDescent="0.25">
      <c r="B939" s="18" t="s">
        <v>787</v>
      </c>
      <c r="C939" s="44" t="s">
        <v>1881</v>
      </c>
      <c r="D939" s="20" t="s">
        <v>3724</v>
      </c>
      <c r="E939" s="67" t="s">
        <v>3</v>
      </c>
      <c r="F939" s="51" t="s">
        <v>3</v>
      </c>
      <c r="G939" s="37" t="s">
        <v>1256</v>
      </c>
      <c r="H939" s="68" t="s">
        <v>3842</v>
      </c>
      <c r="I939" s="62" t="s">
        <v>10</v>
      </c>
      <c r="J939" s="61" t="s">
        <v>250</v>
      </c>
      <c r="K939" s="4">
        <v>4429297</v>
      </c>
      <c r="L939" s="39">
        <v>101.221</v>
      </c>
      <c r="M939" s="4">
        <v>4518065</v>
      </c>
      <c r="N939" s="4">
        <v>4463548</v>
      </c>
      <c r="O939" s="4">
        <v>4431325</v>
      </c>
      <c r="P939" s="4">
        <v>0</v>
      </c>
      <c r="Q939" s="4">
        <v>2029</v>
      </c>
      <c r="R939" s="4">
        <v>0</v>
      </c>
      <c r="S939" s="4">
        <v>0</v>
      </c>
      <c r="T939" s="23">
        <v>3.12</v>
      </c>
      <c r="U939" s="23">
        <v>3.3780000000000001</v>
      </c>
      <c r="V939" s="5" t="s">
        <v>415</v>
      </c>
      <c r="W939" s="4">
        <v>4255</v>
      </c>
      <c r="X939" s="4">
        <v>94131</v>
      </c>
      <c r="Y939" s="11">
        <v>44040</v>
      </c>
      <c r="Z939" s="11">
        <v>49815</v>
      </c>
      <c r="AA939" s="2"/>
      <c r="AB939" s="63" t="s">
        <v>3840</v>
      </c>
      <c r="AC939" s="5" t="s">
        <v>9</v>
      </c>
      <c r="AD939" s="76" t="s">
        <v>1987</v>
      </c>
      <c r="AE939" s="11">
        <v>45432</v>
      </c>
      <c r="AF939" s="23">
        <v>100</v>
      </c>
      <c r="AG939" s="11">
        <v>46497</v>
      </c>
      <c r="AH939" s="5" t="s">
        <v>3</v>
      </c>
      <c r="AI939" s="5" t="s">
        <v>4089</v>
      </c>
      <c r="AJ939" s="5" t="s">
        <v>928</v>
      </c>
      <c r="AK939" s="16" t="s">
        <v>3</v>
      </c>
      <c r="AL939" s="65" t="s">
        <v>929</v>
      </c>
      <c r="AM939" s="31" t="s">
        <v>1176</v>
      </c>
    </row>
    <row r="940" spans="2:39" x14ac:dyDescent="0.25">
      <c r="B940" s="18" t="s">
        <v>2611</v>
      </c>
      <c r="C940" s="44" t="s">
        <v>788</v>
      </c>
      <c r="D940" s="20" t="s">
        <v>3724</v>
      </c>
      <c r="E940" s="67" t="s">
        <v>3</v>
      </c>
      <c r="F940" s="51" t="s">
        <v>3</v>
      </c>
      <c r="G940" s="37" t="s">
        <v>1256</v>
      </c>
      <c r="H940" s="68" t="s">
        <v>2715</v>
      </c>
      <c r="I940" s="62" t="s">
        <v>252</v>
      </c>
      <c r="J940" s="61" t="s">
        <v>250</v>
      </c>
      <c r="K940" s="4">
        <v>3413903</v>
      </c>
      <c r="L940" s="39">
        <v>100.209</v>
      </c>
      <c r="M940" s="4">
        <v>3408928</v>
      </c>
      <c r="N940" s="4">
        <v>3401814</v>
      </c>
      <c r="O940" s="4">
        <v>3412632</v>
      </c>
      <c r="P940" s="4">
        <v>0</v>
      </c>
      <c r="Q940" s="4">
        <v>-1322</v>
      </c>
      <c r="R940" s="4">
        <v>0</v>
      </c>
      <c r="S940" s="4">
        <v>0</v>
      </c>
      <c r="T940" s="23">
        <v>2.33</v>
      </c>
      <c r="U940" s="23">
        <v>2.1709999999999998</v>
      </c>
      <c r="V940" s="5" t="s">
        <v>415</v>
      </c>
      <c r="W940" s="4">
        <v>2422</v>
      </c>
      <c r="X940" s="4">
        <v>42567</v>
      </c>
      <c r="Y940" s="11">
        <v>44034</v>
      </c>
      <c r="Z940" s="11">
        <v>48780</v>
      </c>
      <c r="AA940" s="2"/>
      <c r="AB940" s="63" t="s">
        <v>3840</v>
      </c>
      <c r="AC940" s="5" t="s">
        <v>9</v>
      </c>
      <c r="AD940" s="76" t="s">
        <v>143</v>
      </c>
      <c r="AE940" s="11">
        <v>44306</v>
      </c>
      <c r="AF940" s="23">
        <v>100</v>
      </c>
      <c r="AG940" s="11">
        <v>45555</v>
      </c>
      <c r="AH940" s="5" t="s">
        <v>3</v>
      </c>
      <c r="AI940" s="5" t="s">
        <v>4089</v>
      </c>
      <c r="AJ940" s="5" t="s">
        <v>928</v>
      </c>
      <c r="AK940" s="16" t="s">
        <v>3</v>
      </c>
      <c r="AL940" s="65" t="s">
        <v>3842</v>
      </c>
      <c r="AM940" s="31" t="s">
        <v>898</v>
      </c>
    </row>
    <row r="941" spans="2:39" x14ac:dyDescent="0.25">
      <c r="B941" s="18" t="s">
        <v>4091</v>
      </c>
      <c r="C941" s="44" t="s">
        <v>789</v>
      </c>
      <c r="D941" s="20" t="s">
        <v>1273</v>
      </c>
      <c r="E941" s="67" t="s">
        <v>3</v>
      </c>
      <c r="F941" s="51" t="s">
        <v>3</v>
      </c>
      <c r="G941" s="37" t="s">
        <v>1987</v>
      </c>
      <c r="H941" s="68" t="s">
        <v>3842</v>
      </c>
      <c r="I941" s="62" t="s">
        <v>10</v>
      </c>
      <c r="J941" s="61" t="s">
        <v>250</v>
      </c>
      <c r="K941" s="4">
        <v>441671</v>
      </c>
      <c r="L941" s="39">
        <v>100.17</v>
      </c>
      <c r="M941" s="4">
        <v>442446</v>
      </c>
      <c r="N941" s="4">
        <v>441696</v>
      </c>
      <c r="O941" s="4">
        <v>441674</v>
      </c>
      <c r="P941" s="4">
        <v>0</v>
      </c>
      <c r="Q941" s="4">
        <v>0</v>
      </c>
      <c r="R941" s="4">
        <v>0</v>
      </c>
      <c r="S941" s="4">
        <v>0</v>
      </c>
      <c r="T941" s="23">
        <v>2.78</v>
      </c>
      <c r="U941" s="23">
        <v>2.7970000000000002</v>
      </c>
      <c r="V941" s="5" t="s">
        <v>415</v>
      </c>
      <c r="W941" s="4">
        <v>375</v>
      </c>
      <c r="X941" s="4">
        <v>12279</v>
      </c>
      <c r="Y941" s="11">
        <v>42562</v>
      </c>
      <c r="Z941" s="11">
        <v>48780</v>
      </c>
      <c r="AA941" s="2"/>
      <c r="AB941" s="63" t="s">
        <v>3840</v>
      </c>
      <c r="AC941" s="5" t="s">
        <v>9</v>
      </c>
      <c r="AD941" s="76" t="s">
        <v>143</v>
      </c>
      <c r="AE941" s="6"/>
      <c r="AF941" s="23"/>
      <c r="AG941" s="11">
        <v>45555</v>
      </c>
      <c r="AH941" s="5" t="s">
        <v>3</v>
      </c>
      <c r="AI941" s="5" t="s">
        <v>4089</v>
      </c>
      <c r="AJ941" s="5" t="s">
        <v>4089</v>
      </c>
      <c r="AK941" s="16" t="s">
        <v>3</v>
      </c>
      <c r="AL941" s="65" t="s">
        <v>2715</v>
      </c>
      <c r="AM941" s="31" t="s">
        <v>1176</v>
      </c>
    </row>
    <row r="942" spans="2:39" x14ac:dyDescent="0.25">
      <c r="B942" s="18" t="s">
        <v>790</v>
      </c>
      <c r="C942" s="44" t="s">
        <v>3458</v>
      </c>
      <c r="D942" s="20" t="s">
        <v>1273</v>
      </c>
      <c r="E942" s="67" t="s">
        <v>3</v>
      </c>
      <c r="F942" s="51" t="s">
        <v>3</v>
      </c>
      <c r="G942" s="37" t="s">
        <v>1987</v>
      </c>
      <c r="H942" s="68" t="s">
        <v>2715</v>
      </c>
      <c r="I942" s="62" t="s">
        <v>252</v>
      </c>
      <c r="J942" s="61" t="s">
        <v>250</v>
      </c>
      <c r="K942" s="4">
        <v>1234904</v>
      </c>
      <c r="L942" s="39">
        <v>100.851</v>
      </c>
      <c r="M942" s="4">
        <v>1245642</v>
      </c>
      <c r="N942" s="4">
        <v>1235126</v>
      </c>
      <c r="O942" s="4">
        <v>1234991</v>
      </c>
      <c r="P942" s="4">
        <v>0</v>
      </c>
      <c r="Q942" s="4">
        <v>19</v>
      </c>
      <c r="R942" s="4">
        <v>0</v>
      </c>
      <c r="S942" s="4">
        <v>0</v>
      </c>
      <c r="T942" s="23">
        <v>2.4300000000000002</v>
      </c>
      <c r="U942" s="23">
        <v>2.4460000000000002</v>
      </c>
      <c r="V942" s="5" t="s">
        <v>415</v>
      </c>
      <c r="W942" s="4">
        <v>917</v>
      </c>
      <c r="X942" s="4">
        <v>30014</v>
      </c>
      <c r="Y942" s="11">
        <v>42655</v>
      </c>
      <c r="Z942" s="11">
        <v>48872</v>
      </c>
      <c r="AA942" s="2"/>
      <c r="AB942" s="63" t="s">
        <v>3840</v>
      </c>
      <c r="AC942" s="5" t="s">
        <v>9</v>
      </c>
      <c r="AD942" s="76" t="s">
        <v>143</v>
      </c>
      <c r="AE942" s="9"/>
      <c r="AF942" s="23"/>
      <c r="AG942" s="11">
        <v>45797</v>
      </c>
      <c r="AH942" s="5" t="s">
        <v>3</v>
      </c>
      <c r="AI942" s="5" t="s">
        <v>4089</v>
      </c>
      <c r="AJ942" s="5" t="s">
        <v>4089</v>
      </c>
      <c r="AK942" s="16" t="s">
        <v>3</v>
      </c>
      <c r="AL942" s="65" t="s">
        <v>2715</v>
      </c>
      <c r="AM942" s="31" t="s">
        <v>898</v>
      </c>
    </row>
    <row r="943" spans="2:39" x14ac:dyDescent="0.25">
      <c r="B943" s="18" t="s">
        <v>1882</v>
      </c>
      <c r="C943" s="44" t="s">
        <v>1519</v>
      </c>
      <c r="D943" s="20" t="s">
        <v>1273</v>
      </c>
      <c r="E943" s="67" t="s">
        <v>3</v>
      </c>
      <c r="F943" s="51" t="s">
        <v>3</v>
      </c>
      <c r="G943" s="37" t="s">
        <v>1256</v>
      </c>
      <c r="H943" s="68" t="s">
        <v>2715</v>
      </c>
      <c r="I943" s="62" t="s">
        <v>3310</v>
      </c>
      <c r="J943" s="61" t="s">
        <v>250</v>
      </c>
      <c r="K943" s="4">
        <v>1597678</v>
      </c>
      <c r="L943" s="39">
        <v>103.79</v>
      </c>
      <c r="M943" s="4">
        <v>1658537</v>
      </c>
      <c r="N943" s="4">
        <v>1597979</v>
      </c>
      <c r="O943" s="4">
        <v>1597743</v>
      </c>
      <c r="P943" s="4">
        <v>0</v>
      </c>
      <c r="Q943" s="4">
        <v>24</v>
      </c>
      <c r="R943" s="4">
        <v>0</v>
      </c>
      <c r="S943" s="4">
        <v>0</v>
      </c>
      <c r="T943" s="23">
        <v>3.5</v>
      </c>
      <c r="U943" s="23">
        <v>3.5289999999999999</v>
      </c>
      <c r="V943" s="5" t="s">
        <v>415</v>
      </c>
      <c r="W943" s="4">
        <v>1709</v>
      </c>
      <c r="X943" s="4">
        <v>55929</v>
      </c>
      <c r="Y943" s="11">
        <v>43292</v>
      </c>
      <c r="Z943" s="11">
        <v>49480</v>
      </c>
      <c r="AA943" s="2"/>
      <c r="AB943" s="63" t="s">
        <v>3840</v>
      </c>
      <c r="AC943" s="5" t="s">
        <v>9</v>
      </c>
      <c r="AD943" s="76" t="s">
        <v>143</v>
      </c>
      <c r="AE943" s="11">
        <v>45981</v>
      </c>
      <c r="AF943" s="23">
        <v>100</v>
      </c>
      <c r="AG943" s="11">
        <v>46285</v>
      </c>
      <c r="AH943" s="5" t="s">
        <v>3</v>
      </c>
      <c r="AI943" s="5" t="s">
        <v>4089</v>
      </c>
      <c r="AJ943" s="5" t="s">
        <v>4089</v>
      </c>
      <c r="AK943" s="16" t="s">
        <v>3</v>
      </c>
      <c r="AL943" s="65" t="s">
        <v>3842</v>
      </c>
      <c r="AM943" s="31" t="s">
        <v>2217</v>
      </c>
    </row>
    <row r="944" spans="2:39" x14ac:dyDescent="0.25">
      <c r="B944" s="18" t="s">
        <v>2970</v>
      </c>
      <c r="C944" s="44" t="s">
        <v>1274</v>
      </c>
      <c r="D944" s="20" t="s">
        <v>3724</v>
      </c>
      <c r="E944" s="67" t="s">
        <v>3</v>
      </c>
      <c r="F944" s="51" t="s">
        <v>3</v>
      </c>
      <c r="G944" s="37" t="s">
        <v>1256</v>
      </c>
      <c r="H944" s="68" t="s">
        <v>2715</v>
      </c>
      <c r="I944" s="62" t="s">
        <v>252</v>
      </c>
      <c r="J944" s="61" t="s">
        <v>250</v>
      </c>
      <c r="K944" s="4">
        <v>1740393</v>
      </c>
      <c r="L944" s="39">
        <v>103.142</v>
      </c>
      <c r="M944" s="4">
        <v>1771799</v>
      </c>
      <c r="N944" s="4">
        <v>1717828</v>
      </c>
      <c r="O944" s="4">
        <v>1740127</v>
      </c>
      <c r="P944" s="4">
        <v>0</v>
      </c>
      <c r="Q944" s="4">
        <v>-280</v>
      </c>
      <c r="R944" s="4">
        <v>0</v>
      </c>
      <c r="S944" s="4">
        <v>0</v>
      </c>
      <c r="T944" s="23">
        <v>3.65</v>
      </c>
      <c r="U944" s="23">
        <v>3.2170000000000001</v>
      </c>
      <c r="V944" s="5" t="s">
        <v>415</v>
      </c>
      <c r="W944" s="4">
        <v>1916</v>
      </c>
      <c r="X944" s="4">
        <v>37304</v>
      </c>
      <c r="Y944" s="11">
        <v>44166</v>
      </c>
      <c r="Z944" s="11">
        <v>49480</v>
      </c>
      <c r="AA944" s="2"/>
      <c r="AB944" s="63" t="s">
        <v>3840</v>
      </c>
      <c r="AC944" s="5" t="s">
        <v>9</v>
      </c>
      <c r="AD944" s="76" t="s">
        <v>143</v>
      </c>
      <c r="AE944" s="10">
        <v>45981</v>
      </c>
      <c r="AF944" s="23">
        <v>100</v>
      </c>
      <c r="AG944" s="11">
        <v>46285</v>
      </c>
      <c r="AH944" s="5" t="s">
        <v>3</v>
      </c>
      <c r="AI944" s="5" t="s">
        <v>4089</v>
      </c>
      <c r="AJ944" s="5" t="s">
        <v>928</v>
      </c>
      <c r="AK944" s="16" t="s">
        <v>3</v>
      </c>
      <c r="AL944" s="65" t="s">
        <v>2715</v>
      </c>
      <c r="AM944" s="31" t="s">
        <v>898</v>
      </c>
    </row>
    <row r="945" spans="2:39" x14ac:dyDescent="0.25">
      <c r="B945" s="18" t="s">
        <v>4092</v>
      </c>
      <c r="C945" s="44" t="s">
        <v>2612</v>
      </c>
      <c r="D945" s="20" t="s">
        <v>3724</v>
      </c>
      <c r="E945" s="67" t="s">
        <v>3</v>
      </c>
      <c r="F945" s="51" t="s">
        <v>3</v>
      </c>
      <c r="G945" s="37" t="s">
        <v>1256</v>
      </c>
      <c r="H945" s="68" t="s">
        <v>2715</v>
      </c>
      <c r="I945" s="62" t="s">
        <v>252</v>
      </c>
      <c r="J945" s="61" t="s">
        <v>250</v>
      </c>
      <c r="K945" s="4">
        <v>2524684</v>
      </c>
      <c r="L945" s="39">
        <v>103.06</v>
      </c>
      <c r="M945" s="4">
        <v>2602512</v>
      </c>
      <c r="N945" s="4">
        <v>2525237</v>
      </c>
      <c r="O945" s="4">
        <v>2524777</v>
      </c>
      <c r="P945" s="4">
        <v>0</v>
      </c>
      <c r="Q945" s="4">
        <v>46</v>
      </c>
      <c r="R945" s="4">
        <v>0</v>
      </c>
      <c r="S945" s="4">
        <v>0</v>
      </c>
      <c r="T945" s="23">
        <v>3.42</v>
      </c>
      <c r="U945" s="23">
        <v>3.4489999999999998</v>
      </c>
      <c r="V945" s="5" t="s">
        <v>415</v>
      </c>
      <c r="W945" s="4">
        <v>2639</v>
      </c>
      <c r="X945" s="4">
        <v>86363</v>
      </c>
      <c r="Y945" s="11">
        <v>43536</v>
      </c>
      <c r="Z945" s="11">
        <v>49694</v>
      </c>
      <c r="AA945" s="2"/>
      <c r="AB945" s="63" t="s">
        <v>3840</v>
      </c>
      <c r="AC945" s="5" t="s">
        <v>9</v>
      </c>
      <c r="AD945" s="76" t="s">
        <v>1987</v>
      </c>
      <c r="AE945" s="11">
        <v>46193</v>
      </c>
      <c r="AF945" s="23">
        <v>100</v>
      </c>
      <c r="AG945" s="11">
        <v>46438</v>
      </c>
      <c r="AH945" s="5" t="s">
        <v>3</v>
      </c>
      <c r="AI945" s="5" t="s">
        <v>4089</v>
      </c>
      <c r="AJ945" s="5" t="s">
        <v>928</v>
      </c>
      <c r="AK945" s="16" t="s">
        <v>3</v>
      </c>
      <c r="AL945" s="65" t="s">
        <v>929</v>
      </c>
      <c r="AM945" s="31" t="s">
        <v>898</v>
      </c>
    </row>
    <row r="946" spans="2:39" x14ac:dyDescent="0.25">
      <c r="B946" s="18" t="s">
        <v>791</v>
      </c>
      <c r="C946" s="44" t="s">
        <v>2613</v>
      </c>
      <c r="D946" s="20" t="s">
        <v>3724</v>
      </c>
      <c r="E946" s="67" t="s">
        <v>3</v>
      </c>
      <c r="F946" s="51" t="s">
        <v>3</v>
      </c>
      <c r="G946" s="37" t="s">
        <v>1256</v>
      </c>
      <c r="H946" s="68" t="s">
        <v>3842</v>
      </c>
      <c r="I946" s="62" t="s">
        <v>10</v>
      </c>
      <c r="J946" s="61" t="s">
        <v>250</v>
      </c>
      <c r="K946" s="4">
        <v>6865241</v>
      </c>
      <c r="L946" s="39">
        <v>102.568</v>
      </c>
      <c r="M946" s="4">
        <v>7014807</v>
      </c>
      <c r="N946" s="4">
        <v>6839183</v>
      </c>
      <c r="O946" s="4">
        <v>6863583</v>
      </c>
      <c r="P946" s="4">
        <v>0</v>
      </c>
      <c r="Q946" s="4">
        <v>-1660</v>
      </c>
      <c r="R946" s="4">
        <v>0</v>
      </c>
      <c r="S946" s="4">
        <v>0</v>
      </c>
      <c r="T946" s="23">
        <v>3.77</v>
      </c>
      <c r="U946" s="23">
        <v>3.6789999999999998</v>
      </c>
      <c r="V946" s="5" t="s">
        <v>415</v>
      </c>
      <c r="W946" s="4">
        <v>7878</v>
      </c>
      <c r="X946" s="4">
        <v>135199</v>
      </c>
      <c r="Y946" s="11">
        <v>44040</v>
      </c>
      <c r="Z946" s="11">
        <v>49694</v>
      </c>
      <c r="AA946" s="2"/>
      <c r="AB946" s="63" t="s">
        <v>3840</v>
      </c>
      <c r="AC946" s="5" t="s">
        <v>9</v>
      </c>
      <c r="AD946" s="76" t="s">
        <v>1987</v>
      </c>
      <c r="AE946" s="11">
        <v>45493</v>
      </c>
      <c r="AF946" s="23">
        <v>100</v>
      </c>
      <c r="AG946" s="11">
        <v>46438</v>
      </c>
      <c r="AH946" s="5" t="s">
        <v>3</v>
      </c>
      <c r="AI946" s="5" t="s">
        <v>4089</v>
      </c>
      <c r="AJ946" s="5" t="s">
        <v>928</v>
      </c>
      <c r="AK946" s="16" t="s">
        <v>3</v>
      </c>
      <c r="AL946" s="65" t="s">
        <v>929</v>
      </c>
      <c r="AM946" s="31" t="s">
        <v>1176</v>
      </c>
    </row>
    <row r="947" spans="2:39" x14ac:dyDescent="0.25">
      <c r="B947" s="18" t="s">
        <v>1883</v>
      </c>
      <c r="C947" s="44" t="s">
        <v>4369</v>
      </c>
      <c r="D947" s="20" t="s">
        <v>3724</v>
      </c>
      <c r="E947" s="67" t="s">
        <v>3</v>
      </c>
      <c r="F947" s="51" t="s">
        <v>3</v>
      </c>
      <c r="G947" s="37" t="s">
        <v>1987</v>
      </c>
      <c r="H947" s="68" t="s">
        <v>2715</v>
      </c>
      <c r="I947" s="62" t="s">
        <v>3310</v>
      </c>
      <c r="J947" s="61" t="s">
        <v>250</v>
      </c>
      <c r="K947" s="4">
        <v>2059630</v>
      </c>
      <c r="L947" s="39">
        <v>104.42100000000001</v>
      </c>
      <c r="M947" s="4">
        <v>2151227</v>
      </c>
      <c r="N947" s="4">
        <v>2060147</v>
      </c>
      <c r="O947" s="4">
        <v>2059732</v>
      </c>
      <c r="P947" s="4">
        <v>0</v>
      </c>
      <c r="Q947" s="4">
        <v>37</v>
      </c>
      <c r="R947" s="4">
        <v>0</v>
      </c>
      <c r="S947" s="4">
        <v>0</v>
      </c>
      <c r="T947" s="23">
        <v>3.69</v>
      </c>
      <c r="U947" s="23">
        <v>3.7240000000000002</v>
      </c>
      <c r="V947" s="5" t="s">
        <v>415</v>
      </c>
      <c r="W947" s="4">
        <v>2323</v>
      </c>
      <c r="X947" s="4">
        <v>76019</v>
      </c>
      <c r="Y947" s="11">
        <v>43383</v>
      </c>
      <c r="Z947" s="11">
        <v>49572</v>
      </c>
      <c r="AA947" s="2"/>
      <c r="AB947" s="63" t="s">
        <v>3840</v>
      </c>
      <c r="AC947" s="5" t="s">
        <v>9</v>
      </c>
      <c r="AD947" s="76" t="s">
        <v>143</v>
      </c>
      <c r="AE947" s="6"/>
      <c r="AF947" s="23"/>
      <c r="AG947" s="11">
        <v>46438</v>
      </c>
      <c r="AH947" s="5" t="s">
        <v>3</v>
      </c>
      <c r="AI947" s="5" t="s">
        <v>4089</v>
      </c>
      <c r="AJ947" s="5" t="s">
        <v>928</v>
      </c>
      <c r="AK947" s="16" t="s">
        <v>3</v>
      </c>
      <c r="AL947" s="65" t="s">
        <v>3842</v>
      </c>
      <c r="AM947" s="31" t="s">
        <v>2217</v>
      </c>
    </row>
    <row r="948" spans="2:39" x14ac:dyDescent="0.25">
      <c r="B948" s="18" t="s">
        <v>2971</v>
      </c>
      <c r="C948" s="44" t="s">
        <v>2348</v>
      </c>
      <c r="D948" s="20" t="s">
        <v>3724</v>
      </c>
      <c r="E948" s="67" t="s">
        <v>3</v>
      </c>
      <c r="F948" s="51" t="s">
        <v>3</v>
      </c>
      <c r="G948" s="37" t="s">
        <v>1987</v>
      </c>
      <c r="H948" s="68" t="s">
        <v>2715</v>
      </c>
      <c r="I948" s="62" t="s">
        <v>252</v>
      </c>
      <c r="J948" s="61" t="s">
        <v>250</v>
      </c>
      <c r="K948" s="4">
        <v>1373203</v>
      </c>
      <c r="L948" s="39">
        <v>103.72199999999999</v>
      </c>
      <c r="M948" s="4">
        <v>1424553</v>
      </c>
      <c r="N948" s="4">
        <v>1373431</v>
      </c>
      <c r="O948" s="4">
        <v>1373240</v>
      </c>
      <c r="P948" s="4">
        <v>0</v>
      </c>
      <c r="Q948" s="4">
        <v>13</v>
      </c>
      <c r="R948" s="4">
        <v>0</v>
      </c>
      <c r="S948" s="4">
        <v>0</v>
      </c>
      <c r="T948" s="23">
        <v>3.87</v>
      </c>
      <c r="U948" s="23">
        <v>3.9039999999999999</v>
      </c>
      <c r="V948" s="5" t="s">
        <v>415</v>
      </c>
      <c r="W948" s="4">
        <v>1624</v>
      </c>
      <c r="X948" s="4">
        <v>53152</v>
      </c>
      <c r="Y948" s="11">
        <v>43383</v>
      </c>
      <c r="Z948" s="11">
        <v>49572</v>
      </c>
      <c r="AA948" s="2"/>
      <c r="AB948" s="63" t="s">
        <v>3840</v>
      </c>
      <c r="AC948" s="5" t="s">
        <v>9</v>
      </c>
      <c r="AD948" s="76" t="s">
        <v>143</v>
      </c>
      <c r="AE948" s="6"/>
      <c r="AF948" s="23"/>
      <c r="AG948" s="11">
        <v>46438</v>
      </c>
      <c r="AH948" s="5" t="s">
        <v>3</v>
      </c>
      <c r="AI948" s="5" t="s">
        <v>4089</v>
      </c>
      <c r="AJ948" s="5" t="s">
        <v>928</v>
      </c>
      <c r="AK948" s="16" t="s">
        <v>3</v>
      </c>
      <c r="AL948" s="65" t="s">
        <v>2715</v>
      </c>
      <c r="AM948" s="31" t="s">
        <v>898</v>
      </c>
    </row>
    <row r="949" spans="2:39" x14ac:dyDescent="0.25">
      <c r="B949" s="18" t="s">
        <v>4093</v>
      </c>
      <c r="C949" s="44" t="s">
        <v>2349</v>
      </c>
      <c r="D949" s="20" t="s">
        <v>3724</v>
      </c>
      <c r="E949" s="67" t="s">
        <v>3</v>
      </c>
      <c r="F949" s="51" t="s">
        <v>3</v>
      </c>
      <c r="G949" s="37" t="s">
        <v>1256</v>
      </c>
      <c r="H949" s="68" t="s">
        <v>3842</v>
      </c>
      <c r="I949" s="62" t="s">
        <v>10</v>
      </c>
      <c r="J949" s="61" t="s">
        <v>250</v>
      </c>
      <c r="K949" s="4">
        <v>6487453</v>
      </c>
      <c r="L949" s="39">
        <v>103.303</v>
      </c>
      <c r="M949" s="4">
        <v>6561931</v>
      </c>
      <c r="N949" s="4">
        <v>6352120</v>
      </c>
      <c r="O949" s="4">
        <v>6483773</v>
      </c>
      <c r="P949" s="4">
        <v>0</v>
      </c>
      <c r="Q949" s="4">
        <v>-3671</v>
      </c>
      <c r="R949" s="4">
        <v>0</v>
      </c>
      <c r="S949" s="4">
        <v>0</v>
      </c>
      <c r="T949" s="23">
        <v>4.17</v>
      </c>
      <c r="U949" s="23">
        <v>3.5</v>
      </c>
      <c r="V949" s="5" t="s">
        <v>415</v>
      </c>
      <c r="W949" s="4">
        <v>8094</v>
      </c>
      <c r="X949" s="4">
        <v>91874</v>
      </c>
      <c r="Y949" s="11">
        <v>44131</v>
      </c>
      <c r="Z949" s="11">
        <v>49572</v>
      </c>
      <c r="AA949" s="2"/>
      <c r="AB949" s="63" t="s">
        <v>3840</v>
      </c>
      <c r="AC949" s="5" t="s">
        <v>9</v>
      </c>
      <c r="AD949" s="76" t="s">
        <v>143</v>
      </c>
      <c r="AE949" s="11">
        <v>45280</v>
      </c>
      <c r="AF949" s="23">
        <v>100</v>
      </c>
      <c r="AG949" s="11">
        <v>46438</v>
      </c>
      <c r="AH949" s="5" t="s">
        <v>3</v>
      </c>
      <c r="AI949" s="5" t="s">
        <v>4089</v>
      </c>
      <c r="AJ949" s="5" t="s">
        <v>928</v>
      </c>
      <c r="AK949" s="16" t="s">
        <v>3</v>
      </c>
      <c r="AL949" s="65" t="s">
        <v>2715</v>
      </c>
      <c r="AM949" s="31" t="s">
        <v>1176</v>
      </c>
    </row>
    <row r="950" spans="2:39" x14ac:dyDescent="0.25">
      <c r="B950" s="18" t="s">
        <v>1884</v>
      </c>
      <c r="C950" s="44" t="s">
        <v>3238</v>
      </c>
      <c r="D950" s="20" t="s">
        <v>1080</v>
      </c>
      <c r="E950" s="67" t="s">
        <v>3</v>
      </c>
      <c r="F950" s="51" t="s">
        <v>3</v>
      </c>
      <c r="G950" s="37" t="s">
        <v>1256</v>
      </c>
      <c r="H950" s="68" t="s">
        <v>3842</v>
      </c>
      <c r="I950" s="62" t="s">
        <v>10</v>
      </c>
      <c r="J950" s="61" t="s">
        <v>250</v>
      </c>
      <c r="K950" s="4">
        <v>1983333</v>
      </c>
      <c r="L950" s="39">
        <v>108.688</v>
      </c>
      <c r="M950" s="4">
        <v>2155645</v>
      </c>
      <c r="N950" s="4">
        <v>1983333</v>
      </c>
      <c r="O950" s="4">
        <v>1983333</v>
      </c>
      <c r="P950" s="4">
        <v>0</v>
      </c>
      <c r="Q950" s="4">
        <v>0</v>
      </c>
      <c r="R950" s="4">
        <v>0</v>
      </c>
      <c r="S950" s="4">
        <v>0</v>
      </c>
      <c r="T950" s="23">
        <v>4.3360000000000003</v>
      </c>
      <c r="U950" s="23">
        <v>4.3739999999999997</v>
      </c>
      <c r="V950" s="5" t="s">
        <v>415</v>
      </c>
      <c r="W950" s="4">
        <v>2628</v>
      </c>
      <c r="X950" s="4">
        <v>78353</v>
      </c>
      <c r="Y950" s="11">
        <v>43845</v>
      </c>
      <c r="Z950" s="11">
        <v>54808</v>
      </c>
      <c r="AA950" s="2"/>
      <c r="AB950" s="63" t="s">
        <v>3840</v>
      </c>
      <c r="AC950" s="5" t="s">
        <v>9</v>
      </c>
      <c r="AD950" s="76" t="s">
        <v>143</v>
      </c>
      <c r="AE950" s="11">
        <v>46042</v>
      </c>
      <c r="AF950" s="23">
        <v>100</v>
      </c>
      <c r="AG950" s="11">
        <v>47503</v>
      </c>
      <c r="AH950" s="5" t="s">
        <v>3</v>
      </c>
      <c r="AI950" s="5" t="s">
        <v>1275</v>
      </c>
      <c r="AJ950" s="5" t="s">
        <v>928</v>
      </c>
      <c r="AK950" s="16" t="s">
        <v>3</v>
      </c>
      <c r="AL950" s="65" t="s">
        <v>3842</v>
      </c>
      <c r="AM950" s="31" t="s">
        <v>1176</v>
      </c>
    </row>
    <row r="951" spans="2:39" x14ac:dyDescent="0.25">
      <c r="B951" s="18" t="s">
        <v>2972</v>
      </c>
      <c r="C951" s="44" t="s">
        <v>1276</v>
      </c>
      <c r="D951" s="20" t="s">
        <v>4370</v>
      </c>
      <c r="E951" s="67" t="s">
        <v>3</v>
      </c>
      <c r="F951" s="51" t="s">
        <v>3</v>
      </c>
      <c r="G951" s="37" t="s">
        <v>2715</v>
      </c>
      <c r="H951" s="68" t="s">
        <v>2715</v>
      </c>
      <c r="I951" s="62" t="s">
        <v>3538</v>
      </c>
      <c r="J951" s="61" t="s">
        <v>250</v>
      </c>
      <c r="K951" s="4">
        <v>3470028</v>
      </c>
      <c r="L951" s="39">
        <v>96.542000000000002</v>
      </c>
      <c r="M951" s="4">
        <v>3350025</v>
      </c>
      <c r="N951" s="4">
        <v>3470028</v>
      </c>
      <c r="O951" s="4">
        <v>3470028</v>
      </c>
      <c r="P951" s="4">
        <v>0</v>
      </c>
      <c r="Q951" s="4">
        <v>0</v>
      </c>
      <c r="R951" s="4">
        <v>0</v>
      </c>
      <c r="S951" s="4">
        <v>0</v>
      </c>
      <c r="T951" s="23">
        <v>3.375</v>
      </c>
      <c r="U951" s="23">
        <v>3.3730000000000002</v>
      </c>
      <c r="V951" s="5" t="s">
        <v>248</v>
      </c>
      <c r="W951" s="4">
        <v>44243</v>
      </c>
      <c r="X951" s="4">
        <v>117113</v>
      </c>
      <c r="Y951" s="11">
        <v>43052</v>
      </c>
      <c r="Z951" s="11">
        <v>47529</v>
      </c>
      <c r="AA951" s="2"/>
      <c r="AB951" s="63" t="s">
        <v>3840</v>
      </c>
      <c r="AC951" s="5" t="s">
        <v>9</v>
      </c>
      <c r="AD951" s="76" t="s">
        <v>4350</v>
      </c>
      <c r="AE951" s="6"/>
      <c r="AF951" s="23"/>
      <c r="AG951" s="9"/>
      <c r="AH951" s="5" t="s">
        <v>3</v>
      </c>
      <c r="AI951" s="5" t="s">
        <v>4094</v>
      </c>
      <c r="AJ951" s="5" t="s">
        <v>4094</v>
      </c>
      <c r="AK951" s="16" t="s">
        <v>3</v>
      </c>
      <c r="AL951" s="65" t="s">
        <v>2715</v>
      </c>
      <c r="AM951" s="31" t="s">
        <v>1161</v>
      </c>
    </row>
    <row r="952" spans="2:39" x14ac:dyDescent="0.25">
      <c r="B952" s="18" t="s">
        <v>4095</v>
      </c>
      <c r="C952" s="44" t="s">
        <v>792</v>
      </c>
      <c r="D952" s="20" t="s">
        <v>3725</v>
      </c>
      <c r="E952" s="67" t="s">
        <v>3</v>
      </c>
      <c r="F952" s="51" t="s">
        <v>3</v>
      </c>
      <c r="G952" s="37" t="s">
        <v>1256</v>
      </c>
      <c r="H952" s="68" t="s">
        <v>2715</v>
      </c>
      <c r="I952" s="62" t="s">
        <v>252</v>
      </c>
      <c r="J952" s="61" t="s">
        <v>250</v>
      </c>
      <c r="K952" s="4">
        <v>15593212</v>
      </c>
      <c r="L952" s="39">
        <v>101.04900000000001</v>
      </c>
      <c r="M952" s="4">
        <v>15763683</v>
      </c>
      <c r="N952" s="4">
        <v>15600000</v>
      </c>
      <c r="O952" s="4">
        <v>15593553</v>
      </c>
      <c r="P952" s="4">
        <v>0</v>
      </c>
      <c r="Q952" s="4">
        <v>340</v>
      </c>
      <c r="R952" s="4">
        <v>0</v>
      </c>
      <c r="S952" s="4">
        <v>0</v>
      </c>
      <c r="T952" s="23">
        <v>2.09</v>
      </c>
      <c r="U952" s="23">
        <v>2.11</v>
      </c>
      <c r="V952" s="5" t="s">
        <v>415</v>
      </c>
      <c r="W952" s="4">
        <v>9962</v>
      </c>
      <c r="X952" s="4">
        <v>103246</v>
      </c>
      <c r="Y952" s="11">
        <v>44060</v>
      </c>
      <c r="Z952" s="11">
        <v>53194</v>
      </c>
      <c r="AA952" s="2"/>
      <c r="AB952" s="63" t="s">
        <v>3840</v>
      </c>
      <c r="AC952" s="5" t="s">
        <v>9</v>
      </c>
      <c r="AD952" s="76" t="s">
        <v>143</v>
      </c>
      <c r="AE952" s="10">
        <v>44793</v>
      </c>
      <c r="AF952" s="23">
        <v>100</v>
      </c>
      <c r="AG952" s="11">
        <v>46803</v>
      </c>
      <c r="AH952" s="5" t="s">
        <v>3</v>
      </c>
      <c r="AI952" s="5" t="s">
        <v>165</v>
      </c>
      <c r="AJ952" s="5" t="s">
        <v>928</v>
      </c>
      <c r="AK952" s="16" t="s">
        <v>3</v>
      </c>
      <c r="AL952" s="65" t="s">
        <v>3842</v>
      </c>
      <c r="AM952" s="31" t="s">
        <v>898</v>
      </c>
    </row>
    <row r="953" spans="2:39" x14ac:dyDescent="0.25">
      <c r="B953" s="18" t="s">
        <v>793</v>
      </c>
      <c r="C953" s="44" t="s">
        <v>1081</v>
      </c>
      <c r="D953" s="20" t="s">
        <v>3239</v>
      </c>
      <c r="E953" s="67" t="s">
        <v>3</v>
      </c>
      <c r="F953" s="51" t="s">
        <v>3</v>
      </c>
      <c r="G953" s="37" t="s">
        <v>1987</v>
      </c>
      <c r="H953" s="68" t="s">
        <v>3842</v>
      </c>
      <c r="I953" s="62" t="s">
        <v>10</v>
      </c>
      <c r="J953" s="61" t="s">
        <v>250</v>
      </c>
      <c r="K953" s="4">
        <v>4900000</v>
      </c>
      <c r="L953" s="39">
        <v>101.429</v>
      </c>
      <c r="M953" s="4">
        <v>4970021</v>
      </c>
      <c r="N953" s="4">
        <v>4900000</v>
      </c>
      <c r="O953" s="4">
        <v>4900000</v>
      </c>
      <c r="P953" s="4">
        <v>0</v>
      </c>
      <c r="Q953" s="4">
        <v>0</v>
      </c>
      <c r="R953" s="4">
        <v>0</v>
      </c>
      <c r="S953" s="4">
        <v>0</v>
      </c>
      <c r="T953" s="23">
        <v>4.3179999999999996</v>
      </c>
      <c r="U953" s="23">
        <v>4.3390000000000004</v>
      </c>
      <c r="V953" s="5" t="s">
        <v>4359</v>
      </c>
      <c r="W953" s="4">
        <v>21158</v>
      </c>
      <c r="X953" s="4">
        <v>211582</v>
      </c>
      <c r="Y953" s="11">
        <v>43418</v>
      </c>
      <c r="Z953" s="11">
        <v>54387</v>
      </c>
      <c r="AA953" s="2"/>
      <c r="AB953" s="63" t="s">
        <v>3840</v>
      </c>
      <c r="AC953" s="5" t="s">
        <v>9</v>
      </c>
      <c r="AD953" s="76" t="s">
        <v>143</v>
      </c>
      <c r="AE953" s="6"/>
      <c r="AF953" s="23"/>
      <c r="AG953" s="11">
        <v>45255</v>
      </c>
      <c r="AH953" s="5" t="s">
        <v>3</v>
      </c>
      <c r="AI953" s="5" t="s">
        <v>454</v>
      </c>
      <c r="AJ953" s="5" t="s">
        <v>928</v>
      </c>
      <c r="AK953" s="16" t="s">
        <v>3</v>
      </c>
      <c r="AL953" s="65" t="s">
        <v>3842</v>
      </c>
      <c r="AM953" s="31" t="s">
        <v>1176</v>
      </c>
    </row>
    <row r="954" spans="2:39" x14ac:dyDescent="0.25">
      <c r="B954" s="18" t="s">
        <v>1885</v>
      </c>
      <c r="C954" s="44" t="s">
        <v>166</v>
      </c>
      <c r="D954" s="20" t="s">
        <v>1520</v>
      </c>
      <c r="E954" s="67" t="s">
        <v>3</v>
      </c>
      <c r="F954" s="51" t="s">
        <v>3</v>
      </c>
      <c r="G954" s="37" t="s">
        <v>1987</v>
      </c>
      <c r="H954" s="68" t="s">
        <v>2715</v>
      </c>
      <c r="I954" s="62" t="s">
        <v>252</v>
      </c>
      <c r="J954" s="61" t="s">
        <v>250</v>
      </c>
      <c r="K954" s="4">
        <v>9733615</v>
      </c>
      <c r="L954" s="39">
        <v>100.899</v>
      </c>
      <c r="M954" s="4">
        <v>9825027</v>
      </c>
      <c r="N954" s="4">
        <v>9737500</v>
      </c>
      <c r="O954" s="4">
        <v>9733743</v>
      </c>
      <c r="P954" s="4">
        <v>0</v>
      </c>
      <c r="Q954" s="4">
        <v>129</v>
      </c>
      <c r="R954" s="4">
        <v>0</v>
      </c>
      <c r="S954" s="4">
        <v>0</v>
      </c>
      <c r="T954" s="23">
        <v>2.0499999999999998</v>
      </c>
      <c r="U954" s="23">
        <v>2.0680000000000001</v>
      </c>
      <c r="V954" s="5" t="s">
        <v>415</v>
      </c>
      <c r="W954" s="4">
        <v>6099</v>
      </c>
      <c r="X954" s="4">
        <v>49350</v>
      </c>
      <c r="Y954" s="11">
        <v>44083</v>
      </c>
      <c r="Z954" s="11">
        <v>53225</v>
      </c>
      <c r="AA954" s="2"/>
      <c r="AB954" s="63" t="s">
        <v>3840</v>
      </c>
      <c r="AC954" s="5" t="s">
        <v>9</v>
      </c>
      <c r="AD954" s="76" t="s">
        <v>4350</v>
      </c>
      <c r="AE954" s="6"/>
      <c r="AF954" s="23"/>
      <c r="AG954" s="11">
        <v>47258</v>
      </c>
      <c r="AH954" s="5" t="s">
        <v>3</v>
      </c>
      <c r="AI954" s="5" t="s">
        <v>2350</v>
      </c>
      <c r="AJ954" s="5" t="s">
        <v>928</v>
      </c>
      <c r="AK954" s="16" t="s">
        <v>3</v>
      </c>
      <c r="AL954" s="65" t="s">
        <v>3842</v>
      </c>
      <c r="AM954" s="31" t="s">
        <v>898</v>
      </c>
    </row>
    <row r="955" spans="2:39" x14ac:dyDescent="0.25">
      <c r="B955" s="18" t="s">
        <v>2973</v>
      </c>
      <c r="C955" s="44" t="s">
        <v>2974</v>
      </c>
      <c r="D955" s="20" t="s">
        <v>2154</v>
      </c>
      <c r="E955" s="67" t="s">
        <v>3</v>
      </c>
      <c r="F955" s="51" t="s">
        <v>3</v>
      </c>
      <c r="G955" s="37" t="s">
        <v>1256</v>
      </c>
      <c r="H955" s="68" t="s">
        <v>2715</v>
      </c>
      <c r="I955" s="62" t="s">
        <v>252</v>
      </c>
      <c r="J955" s="61" t="s">
        <v>250</v>
      </c>
      <c r="K955" s="4">
        <v>4249456</v>
      </c>
      <c r="L955" s="39">
        <v>101.416</v>
      </c>
      <c r="M955" s="4">
        <v>4310185</v>
      </c>
      <c r="N955" s="4">
        <v>4250000</v>
      </c>
      <c r="O955" s="4">
        <v>4249538</v>
      </c>
      <c r="P955" s="4">
        <v>0</v>
      </c>
      <c r="Q955" s="4">
        <v>82</v>
      </c>
      <c r="R955" s="4">
        <v>0</v>
      </c>
      <c r="S955" s="4">
        <v>0</v>
      </c>
      <c r="T955" s="23">
        <v>1.68</v>
      </c>
      <c r="U955" s="23">
        <v>1.6910000000000001</v>
      </c>
      <c r="V955" s="5" t="s">
        <v>415</v>
      </c>
      <c r="W955" s="4">
        <v>2182</v>
      </c>
      <c r="X955" s="4">
        <v>26775</v>
      </c>
      <c r="Y955" s="11">
        <v>44042</v>
      </c>
      <c r="Z955" s="11">
        <v>45342</v>
      </c>
      <c r="AA955" s="2"/>
      <c r="AB955" s="63" t="s">
        <v>3840</v>
      </c>
      <c r="AC955" s="5" t="s">
        <v>9</v>
      </c>
      <c r="AD955" s="76" t="s">
        <v>1987</v>
      </c>
      <c r="AE955" s="10">
        <v>45036</v>
      </c>
      <c r="AF955" s="23">
        <v>100</v>
      </c>
      <c r="AG955" s="11">
        <v>45005</v>
      </c>
      <c r="AH955" s="5" t="s">
        <v>3</v>
      </c>
      <c r="AI955" s="5" t="s">
        <v>2351</v>
      </c>
      <c r="AJ955" s="5" t="s">
        <v>928</v>
      </c>
      <c r="AK955" s="16" t="s">
        <v>3</v>
      </c>
      <c r="AL955" s="65" t="s">
        <v>929</v>
      </c>
      <c r="AM955" s="31" t="s">
        <v>898</v>
      </c>
    </row>
    <row r="956" spans="2:39" x14ac:dyDescent="0.25">
      <c r="B956" s="18" t="s">
        <v>4096</v>
      </c>
      <c r="C956" s="44" t="s">
        <v>2614</v>
      </c>
      <c r="D956" s="20" t="s">
        <v>2154</v>
      </c>
      <c r="E956" s="67" t="s">
        <v>3</v>
      </c>
      <c r="F956" s="51" t="s">
        <v>3</v>
      </c>
      <c r="G956" s="37" t="s">
        <v>1256</v>
      </c>
      <c r="H956" s="68" t="s">
        <v>3842</v>
      </c>
      <c r="I956" s="62" t="s">
        <v>10</v>
      </c>
      <c r="J956" s="61" t="s">
        <v>250</v>
      </c>
      <c r="K956" s="4">
        <v>1999967</v>
      </c>
      <c r="L956" s="39">
        <v>102.399</v>
      </c>
      <c r="M956" s="4">
        <v>2047972</v>
      </c>
      <c r="N956" s="4">
        <v>2000000</v>
      </c>
      <c r="O956" s="4">
        <v>1999970</v>
      </c>
      <c r="P956" s="4">
        <v>0</v>
      </c>
      <c r="Q956" s="4">
        <v>3</v>
      </c>
      <c r="R956" s="4">
        <v>0</v>
      </c>
      <c r="S956" s="4">
        <v>0</v>
      </c>
      <c r="T956" s="23">
        <v>2.33</v>
      </c>
      <c r="U956" s="23">
        <v>2.3420000000000001</v>
      </c>
      <c r="V956" s="5" t="s">
        <v>415</v>
      </c>
      <c r="W956" s="4">
        <v>1424</v>
      </c>
      <c r="X956" s="4">
        <v>17475</v>
      </c>
      <c r="Y956" s="11">
        <v>44042</v>
      </c>
      <c r="Z956" s="11">
        <v>45342</v>
      </c>
      <c r="AA956" s="2"/>
      <c r="AB956" s="63" t="s">
        <v>3840</v>
      </c>
      <c r="AC956" s="5" t="s">
        <v>9</v>
      </c>
      <c r="AD956" s="76" t="s">
        <v>1987</v>
      </c>
      <c r="AE956" s="10">
        <v>45036</v>
      </c>
      <c r="AF956" s="23">
        <v>100</v>
      </c>
      <c r="AG956" s="11">
        <v>45036</v>
      </c>
      <c r="AH956" s="5" t="s">
        <v>3</v>
      </c>
      <c r="AI956" s="5" t="s">
        <v>2351</v>
      </c>
      <c r="AJ956" s="5" t="s">
        <v>928</v>
      </c>
      <c r="AK956" s="16" t="s">
        <v>3</v>
      </c>
      <c r="AL956" s="65" t="s">
        <v>929</v>
      </c>
      <c r="AM956" s="31" t="s">
        <v>1176</v>
      </c>
    </row>
    <row r="957" spans="2:39" x14ac:dyDescent="0.25">
      <c r="B957" s="18" t="s">
        <v>794</v>
      </c>
      <c r="C957" s="44" t="s">
        <v>2615</v>
      </c>
      <c r="D957" s="20" t="s">
        <v>4097</v>
      </c>
      <c r="E957" s="67" t="s">
        <v>3</v>
      </c>
      <c r="F957" s="51" t="s">
        <v>3</v>
      </c>
      <c r="G957" s="37" t="s">
        <v>1987</v>
      </c>
      <c r="H957" s="68" t="s">
        <v>2715</v>
      </c>
      <c r="I957" s="62" t="s">
        <v>252</v>
      </c>
      <c r="J957" s="61" t="s">
        <v>250</v>
      </c>
      <c r="K957" s="4">
        <v>13559277</v>
      </c>
      <c r="L957" s="39">
        <v>102.863</v>
      </c>
      <c r="M957" s="4">
        <v>13897947</v>
      </c>
      <c r="N957" s="4">
        <v>13511180</v>
      </c>
      <c r="O957" s="4">
        <v>13557194</v>
      </c>
      <c r="P957" s="4">
        <v>0</v>
      </c>
      <c r="Q957" s="4">
        <v>-2083</v>
      </c>
      <c r="R957" s="4">
        <v>0</v>
      </c>
      <c r="S957" s="4">
        <v>0</v>
      </c>
      <c r="T957" s="23">
        <v>2.73</v>
      </c>
      <c r="U957" s="23">
        <v>2.6589999999999998</v>
      </c>
      <c r="V957" s="5" t="s">
        <v>415</v>
      </c>
      <c r="W957" s="4">
        <v>11271</v>
      </c>
      <c r="X957" s="4">
        <v>122952</v>
      </c>
      <c r="Y957" s="11">
        <v>44054</v>
      </c>
      <c r="Z957" s="11">
        <v>53195</v>
      </c>
      <c r="AA957" s="2"/>
      <c r="AB957" s="63" t="s">
        <v>3840</v>
      </c>
      <c r="AC957" s="5" t="s">
        <v>9</v>
      </c>
      <c r="AD957" s="76" t="s">
        <v>4350</v>
      </c>
      <c r="AE957" s="6"/>
      <c r="AF957" s="23"/>
      <c r="AG957" s="11">
        <v>47228</v>
      </c>
      <c r="AH957" s="5" t="s">
        <v>3</v>
      </c>
      <c r="AI957" s="5" t="s">
        <v>2616</v>
      </c>
      <c r="AJ957" s="5" t="s">
        <v>928</v>
      </c>
      <c r="AK957" s="16" t="s">
        <v>3</v>
      </c>
      <c r="AL957" s="65" t="s">
        <v>3842</v>
      </c>
      <c r="AM957" s="31" t="s">
        <v>898</v>
      </c>
    </row>
    <row r="958" spans="2:39" x14ac:dyDescent="0.25">
      <c r="B958" s="18" t="s">
        <v>1886</v>
      </c>
      <c r="C958" s="44" t="s">
        <v>2352</v>
      </c>
      <c r="D958" s="20" t="s">
        <v>3459</v>
      </c>
      <c r="E958" s="67" t="s">
        <v>3</v>
      </c>
      <c r="F958" s="51" t="s">
        <v>3</v>
      </c>
      <c r="G958" s="37" t="s">
        <v>1987</v>
      </c>
      <c r="H958" s="68" t="s">
        <v>2715</v>
      </c>
      <c r="I958" s="62" t="s">
        <v>252</v>
      </c>
      <c r="J958" s="61" t="s">
        <v>250</v>
      </c>
      <c r="K958" s="4">
        <v>1383658</v>
      </c>
      <c r="L958" s="39">
        <v>100.38</v>
      </c>
      <c r="M958" s="4">
        <v>1403588</v>
      </c>
      <c r="N958" s="4">
        <v>1398270</v>
      </c>
      <c r="O958" s="4">
        <v>1394174</v>
      </c>
      <c r="P958" s="4">
        <v>0</v>
      </c>
      <c r="Q958" s="4">
        <v>959</v>
      </c>
      <c r="R958" s="4">
        <v>0</v>
      </c>
      <c r="S958" s="4">
        <v>0</v>
      </c>
      <c r="T958" s="23">
        <v>2.266</v>
      </c>
      <c r="U958" s="23">
        <v>2.5649999999999999</v>
      </c>
      <c r="V958" s="5" t="s">
        <v>415</v>
      </c>
      <c r="W958" s="4">
        <v>1408</v>
      </c>
      <c r="X958" s="4">
        <v>31685</v>
      </c>
      <c r="Y958" s="11">
        <v>42277</v>
      </c>
      <c r="Z958" s="11">
        <v>52246</v>
      </c>
      <c r="AA958" s="2"/>
      <c r="AB958" s="63" t="s">
        <v>3840</v>
      </c>
      <c r="AC958" s="5" t="s">
        <v>9</v>
      </c>
      <c r="AD958" s="76" t="s">
        <v>4350</v>
      </c>
      <c r="AE958" s="6"/>
      <c r="AF958" s="23"/>
      <c r="AG958" s="11">
        <v>44941</v>
      </c>
      <c r="AH958" s="5" t="s">
        <v>3</v>
      </c>
      <c r="AI958" s="5" t="s">
        <v>3240</v>
      </c>
      <c r="AJ958" s="5" t="s">
        <v>3241</v>
      </c>
      <c r="AK958" s="16" t="s">
        <v>3</v>
      </c>
      <c r="AL958" s="65" t="s">
        <v>2715</v>
      </c>
      <c r="AM958" s="31" t="s">
        <v>898</v>
      </c>
    </row>
    <row r="959" spans="2:39" x14ac:dyDescent="0.25">
      <c r="B959" s="18" t="s">
        <v>3242</v>
      </c>
      <c r="C959" s="44" t="s">
        <v>4371</v>
      </c>
      <c r="D959" s="20" t="s">
        <v>3460</v>
      </c>
      <c r="E959" s="67" t="s">
        <v>3</v>
      </c>
      <c r="F959" s="51" t="s">
        <v>3</v>
      </c>
      <c r="G959" s="37" t="s">
        <v>1987</v>
      </c>
      <c r="H959" s="68" t="s">
        <v>2715</v>
      </c>
      <c r="I959" s="62" t="s">
        <v>252</v>
      </c>
      <c r="J959" s="61" t="s">
        <v>250</v>
      </c>
      <c r="K959" s="4">
        <v>9785662</v>
      </c>
      <c r="L959" s="39">
        <v>101.164</v>
      </c>
      <c r="M959" s="4">
        <v>9901373</v>
      </c>
      <c r="N959" s="4">
        <v>9787487</v>
      </c>
      <c r="O959" s="4">
        <v>9785714</v>
      </c>
      <c r="P959" s="4">
        <v>0</v>
      </c>
      <c r="Q959" s="4">
        <v>52</v>
      </c>
      <c r="R959" s="4">
        <v>0</v>
      </c>
      <c r="S959" s="4">
        <v>0</v>
      </c>
      <c r="T959" s="23">
        <v>2.11</v>
      </c>
      <c r="U959" s="23">
        <v>2.1230000000000002</v>
      </c>
      <c r="V959" s="5" t="s">
        <v>415</v>
      </c>
      <c r="W959" s="4">
        <v>6310</v>
      </c>
      <c r="X959" s="4">
        <v>51055</v>
      </c>
      <c r="Y959" s="11">
        <v>44068</v>
      </c>
      <c r="Z959" s="11">
        <v>53225</v>
      </c>
      <c r="AA959" s="2"/>
      <c r="AB959" s="63" t="s">
        <v>3840</v>
      </c>
      <c r="AC959" s="5" t="s">
        <v>9</v>
      </c>
      <c r="AD959" s="76" t="s">
        <v>4350</v>
      </c>
      <c r="AE959" s="9"/>
      <c r="AF959" s="23"/>
      <c r="AG959" s="11">
        <v>47593</v>
      </c>
      <c r="AH959" s="5" t="s">
        <v>3</v>
      </c>
      <c r="AI959" s="5" t="s">
        <v>2617</v>
      </c>
      <c r="AJ959" s="5" t="s">
        <v>928</v>
      </c>
      <c r="AK959" s="16" t="s">
        <v>3</v>
      </c>
      <c r="AL959" s="65" t="s">
        <v>3842</v>
      </c>
      <c r="AM959" s="31" t="s">
        <v>898</v>
      </c>
    </row>
    <row r="960" spans="2:39" x14ac:dyDescent="0.25">
      <c r="B960" s="18" t="s">
        <v>795</v>
      </c>
      <c r="C960" s="44" t="s">
        <v>2353</v>
      </c>
      <c r="D960" s="20" t="s">
        <v>3460</v>
      </c>
      <c r="E960" s="67" t="s">
        <v>3</v>
      </c>
      <c r="F960" s="51" t="s">
        <v>3</v>
      </c>
      <c r="G960" s="37" t="s">
        <v>1987</v>
      </c>
      <c r="H960" s="68" t="s">
        <v>3842</v>
      </c>
      <c r="I960" s="62" t="s">
        <v>10</v>
      </c>
      <c r="J960" s="61" t="s">
        <v>250</v>
      </c>
      <c r="K960" s="4">
        <v>4892884</v>
      </c>
      <c r="L960" s="39">
        <v>101.84399999999999</v>
      </c>
      <c r="M960" s="4">
        <v>4984010</v>
      </c>
      <c r="N960" s="4">
        <v>4893750</v>
      </c>
      <c r="O960" s="4">
        <v>4892903</v>
      </c>
      <c r="P960" s="4">
        <v>0</v>
      </c>
      <c r="Q960" s="4">
        <v>19</v>
      </c>
      <c r="R960" s="4">
        <v>0</v>
      </c>
      <c r="S960" s="4">
        <v>0</v>
      </c>
      <c r="T960" s="23">
        <v>3.74</v>
      </c>
      <c r="U960" s="23">
        <v>3.7730000000000001</v>
      </c>
      <c r="V960" s="5" t="s">
        <v>415</v>
      </c>
      <c r="W960" s="4">
        <v>5592</v>
      </c>
      <c r="X960" s="4">
        <v>45248</v>
      </c>
      <c r="Y960" s="11">
        <v>44068</v>
      </c>
      <c r="Z960" s="11">
        <v>53225</v>
      </c>
      <c r="AA960" s="2"/>
      <c r="AB960" s="63" t="s">
        <v>3840</v>
      </c>
      <c r="AC960" s="5" t="s">
        <v>9</v>
      </c>
      <c r="AD960" s="76" t="s">
        <v>4350</v>
      </c>
      <c r="AE960" s="9"/>
      <c r="AF960" s="23"/>
      <c r="AG960" s="11">
        <v>47593</v>
      </c>
      <c r="AH960" s="5" t="s">
        <v>3</v>
      </c>
      <c r="AI960" s="5" t="s">
        <v>2617</v>
      </c>
      <c r="AJ960" s="5" t="s">
        <v>928</v>
      </c>
      <c r="AK960" s="16" t="s">
        <v>3</v>
      </c>
      <c r="AL960" s="65" t="s">
        <v>929</v>
      </c>
      <c r="AM960" s="31" t="s">
        <v>1176</v>
      </c>
    </row>
    <row r="961" spans="2:39" x14ac:dyDescent="0.25">
      <c r="B961" s="18" t="s">
        <v>1887</v>
      </c>
      <c r="C961" s="44" t="s">
        <v>3726</v>
      </c>
      <c r="D961" s="20" t="s">
        <v>2155</v>
      </c>
      <c r="E961" s="67" t="s">
        <v>3</v>
      </c>
      <c r="F961" s="51" t="s">
        <v>3</v>
      </c>
      <c r="G961" s="37" t="s">
        <v>3445</v>
      </c>
      <c r="H961" s="68" t="s">
        <v>2715</v>
      </c>
      <c r="I961" s="62" t="s">
        <v>252</v>
      </c>
      <c r="J961" s="61" t="s">
        <v>250</v>
      </c>
      <c r="K961" s="4">
        <v>599814</v>
      </c>
      <c r="L961" s="39">
        <v>100.126</v>
      </c>
      <c r="M961" s="4">
        <v>600580</v>
      </c>
      <c r="N961" s="4">
        <v>599822</v>
      </c>
      <c r="O961" s="4">
        <v>599821</v>
      </c>
      <c r="P961" s="4">
        <v>0</v>
      </c>
      <c r="Q961" s="4">
        <v>2</v>
      </c>
      <c r="R961" s="4">
        <v>0</v>
      </c>
      <c r="S961" s="4">
        <v>0</v>
      </c>
      <c r="T961" s="23">
        <v>2.7090000000000001</v>
      </c>
      <c r="U961" s="23">
        <v>2.7250000000000001</v>
      </c>
      <c r="V961" s="5" t="s">
        <v>415</v>
      </c>
      <c r="W961" s="4">
        <v>722</v>
      </c>
      <c r="X961" s="4">
        <v>16249</v>
      </c>
      <c r="Y961" s="11">
        <v>42937</v>
      </c>
      <c r="Z961" s="11">
        <v>53919</v>
      </c>
      <c r="AA961" s="2"/>
      <c r="AB961" s="63" t="s">
        <v>3840</v>
      </c>
      <c r="AC961" s="5" t="s">
        <v>9</v>
      </c>
      <c r="AD961" s="76" t="s">
        <v>143</v>
      </c>
      <c r="AE961" s="10">
        <v>45397</v>
      </c>
      <c r="AF961" s="23">
        <v>100</v>
      </c>
      <c r="AG961" s="11">
        <v>44392</v>
      </c>
      <c r="AH961" s="5" t="s">
        <v>3</v>
      </c>
      <c r="AI961" s="5" t="s">
        <v>3727</v>
      </c>
      <c r="AJ961" s="5" t="s">
        <v>928</v>
      </c>
      <c r="AK961" s="16" t="s">
        <v>3</v>
      </c>
      <c r="AL961" s="65" t="s">
        <v>3842</v>
      </c>
      <c r="AM961" s="31" t="s">
        <v>898</v>
      </c>
    </row>
    <row r="962" spans="2:39" x14ac:dyDescent="0.25">
      <c r="B962" s="18" t="s">
        <v>2975</v>
      </c>
      <c r="C962" s="44" t="s">
        <v>455</v>
      </c>
      <c r="D962" s="20" t="s">
        <v>2354</v>
      </c>
      <c r="E962" s="67" t="s">
        <v>3</v>
      </c>
      <c r="F962" s="51" t="s">
        <v>3</v>
      </c>
      <c r="G962" s="37" t="s">
        <v>2715</v>
      </c>
      <c r="H962" s="68" t="s">
        <v>2715</v>
      </c>
      <c r="I962" s="62" t="s">
        <v>2218</v>
      </c>
      <c r="J962" s="61" t="s">
        <v>250</v>
      </c>
      <c r="K962" s="4">
        <v>7114286</v>
      </c>
      <c r="L962" s="39">
        <v>108.538</v>
      </c>
      <c r="M962" s="4">
        <v>7444114</v>
      </c>
      <c r="N962" s="4">
        <v>6858532</v>
      </c>
      <c r="O962" s="4">
        <v>7089940</v>
      </c>
      <c r="P962" s="4">
        <v>0</v>
      </c>
      <c r="Q962" s="4">
        <v>-24348</v>
      </c>
      <c r="R962" s="4">
        <v>0</v>
      </c>
      <c r="S962" s="4">
        <v>0</v>
      </c>
      <c r="T962" s="23">
        <v>2.6949999999999998</v>
      </c>
      <c r="U962" s="23">
        <v>2.0390000000000001</v>
      </c>
      <c r="V962" s="5" t="s">
        <v>3312</v>
      </c>
      <c r="W962" s="4">
        <v>25158</v>
      </c>
      <c r="X962" s="4">
        <v>184837</v>
      </c>
      <c r="Y962" s="11">
        <v>43873</v>
      </c>
      <c r="Z962" s="11">
        <v>46519</v>
      </c>
      <c r="AA962" s="2"/>
      <c r="AB962" s="63" t="s">
        <v>3840</v>
      </c>
      <c r="AC962" s="5" t="s">
        <v>9</v>
      </c>
      <c r="AD962" s="76" t="s">
        <v>4350</v>
      </c>
      <c r="AE962" s="6"/>
      <c r="AF962" s="23"/>
      <c r="AG962" s="9"/>
      <c r="AH962" s="5" t="s">
        <v>3</v>
      </c>
      <c r="AI962" s="5" t="s">
        <v>3728</v>
      </c>
      <c r="AJ962" s="5" t="s">
        <v>3728</v>
      </c>
      <c r="AK962" s="16" t="s">
        <v>3</v>
      </c>
      <c r="AL962" s="65" t="s">
        <v>2715</v>
      </c>
      <c r="AM962" s="31" t="s">
        <v>1351</v>
      </c>
    </row>
    <row r="963" spans="2:39" x14ac:dyDescent="0.25">
      <c r="B963" s="18" t="s">
        <v>4098</v>
      </c>
      <c r="C963" s="44" t="s">
        <v>4099</v>
      </c>
      <c r="D963" s="20" t="s">
        <v>3729</v>
      </c>
      <c r="E963" s="67" t="s">
        <v>3</v>
      </c>
      <c r="F963" s="51" t="s">
        <v>3</v>
      </c>
      <c r="G963" s="37" t="s">
        <v>2715</v>
      </c>
      <c r="H963" s="68" t="s">
        <v>2715</v>
      </c>
      <c r="I963" s="62" t="s">
        <v>3538</v>
      </c>
      <c r="J963" s="61" t="s">
        <v>250</v>
      </c>
      <c r="K963" s="4">
        <v>4944581</v>
      </c>
      <c r="L963" s="39">
        <v>95.113</v>
      </c>
      <c r="M963" s="4">
        <v>4685416</v>
      </c>
      <c r="N963" s="4">
        <v>4926157</v>
      </c>
      <c r="O963" s="4">
        <v>4943496</v>
      </c>
      <c r="P963" s="4">
        <v>0</v>
      </c>
      <c r="Q963" s="4">
        <v>-1063</v>
      </c>
      <c r="R963" s="4">
        <v>0</v>
      </c>
      <c r="S963" s="4">
        <v>0</v>
      </c>
      <c r="T963" s="23">
        <v>2.7</v>
      </c>
      <c r="U963" s="23">
        <v>2.6640000000000001</v>
      </c>
      <c r="V963" s="5" t="s">
        <v>3312</v>
      </c>
      <c r="W963" s="4">
        <v>22168</v>
      </c>
      <c r="X963" s="4">
        <v>150740</v>
      </c>
      <c r="Y963" s="11">
        <v>43815</v>
      </c>
      <c r="Z963" s="11">
        <v>48335</v>
      </c>
      <c r="AA963" s="2"/>
      <c r="AB963" s="63" t="s">
        <v>3840</v>
      </c>
      <c r="AC963" s="5" t="s">
        <v>4198</v>
      </c>
      <c r="AD963" s="76" t="s">
        <v>4350</v>
      </c>
      <c r="AE963" s="9"/>
      <c r="AF963" s="23"/>
      <c r="AG963" s="9"/>
      <c r="AH963" s="5" t="s">
        <v>3</v>
      </c>
      <c r="AI963" s="5" t="s">
        <v>1521</v>
      </c>
      <c r="AJ963" s="5" t="s">
        <v>1521</v>
      </c>
      <c r="AK963" s="16" t="s">
        <v>3</v>
      </c>
      <c r="AL963" s="65" t="s">
        <v>2715</v>
      </c>
      <c r="AM963" s="31" t="s">
        <v>1161</v>
      </c>
    </row>
    <row r="964" spans="2:39" x14ac:dyDescent="0.25">
      <c r="B964" s="18" t="s">
        <v>796</v>
      </c>
      <c r="C964" s="44" t="s">
        <v>3730</v>
      </c>
      <c r="D964" s="20" t="s">
        <v>456</v>
      </c>
      <c r="E964" s="67" t="s">
        <v>3</v>
      </c>
      <c r="F964" s="51" t="s">
        <v>3</v>
      </c>
      <c r="G964" s="37" t="s">
        <v>1256</v>
      </c>
      <c r="H964" s="68" t="s">
        <v>2715</v>
      </c>
      <c r="I964" s="62" t="s">
        <v>3310</v>
      </c>
      <c r="J964" s="61" t="s">
        <v>250</v>
      </c>
      <c r="K964" s="4">
        <v>4454083</v>
      </c>
      <c r="L964" s="39">
        <v>104.983</v>
      </c>
      <c r="M964" s="4">
        <v>4642764</v>
      </c>
      <c r="N964" s="4">
        <v>4422376</v>
      </c>
      <c r="O964" s="4">
        <v>4448050</v>
      </c>
      <c r="P964" s="4">
        <v>0</v>
      </c>
      <c r="Q964" s="4">
        <v>-3202</v>
      </c>
      <c r="R964" s="4">
        <v>0</v>
      </c>
      <c r="S964" s="4">
        <v>0</v>
      </c>
      <c r="T964" s="23">
        <v>3.56</v>
      </c>
      <c r="U964" s="23">
        <v>3.4159999999999999</v>
      </c>
      <c r="V964" s="5" t="s">
        <v>415</v>
      </c>
      <c r="W964" s="4">
        <v>4811</v>
      </c>
      <c r="X964" s="4">
        <v>157437</v>
      </c>
      <c r="Y964" s="11">
        <v>43551</v>
      </c>
      <c r="Z964" s="11">
        <v>49725</v>
      </c>
      <c r="AA964" s="2"/>
      <c r="AB964" s="63" t="s">
        <v>3840</v>
      </c>
      <c r="AC964" s="5" t="s">
        <v>9</v>
      </c>
      <c r="AD964" s="76" t="s">
        <v>143</v>
      </c>
      <c r="AE964" s="11">
        <v>46285</v>
      </c>
      <c r="AF964" s="23">
        <v>100</v>
      </c>
      <c r="AG964" s="11">
        <v>46832</v>
      </c>
      <c r="AH964" s="5" t="s">
        <v>3</v>
      </c>
      <c r="AI964" s="5" t="s">
        <v>4372</v>
      </c>
      <c r="AJ964" s="5" t="s">
        <v>928</v>
      </c>
      <c r="AK964" s="16" t="s">
        <v>3</v>
      </c>
      <c r="AL964" s="65" t="s">
        <v>3842</v>
      </c>
      <c r="AM964" s="31" t="s">
        <v>2217</v>
      </c>
    </row>
    <row r="965" spans="2:39" x14ac:dyDescent="0.25">
      <c r="B965" s="18" t="s">
        <v>1888</v>
      </c>
      <c r="C965" s="44" t="s">
        <v>3243</v>
      </c>
      <c r="D965" s="20" t="s">
        <v>2618</v>
      </c>
      <c r="E965" s="67" t="s">
        <v>3</v>
      </c>
      <c r="F965" s="51" t="s">
        <v>3</v>
      </c>
      <c r="G965" s="37" t="s">
        <v>1256</v>
      </c>
      <c r="H965" s="68" t="s">
        <v>2715</v>
      </c>
      <c r="I965" s="62" t="s">
        <v>3538</v>
      </c>
      <c r="J965" s="61" t="s">
        <v>250</v>
      </c>
      <c r="K965" s="4">
        <v>4498973</v>
      </c>
      <c r="L965" s="39">
        <v>103.577</v>
      </c>
      <c r="M965" s="4">
        <v>4660987</v>
      </c>
      <c r="N965" s="4">
        <v>4500000</v>
      </c>
      <c r="O965" s="4">
        <v>4499357</v>
      </c>
      <c r="P965" s="4">
        <v>0</v>
      </c>
      <c r="Q965" s="4">
        <v>243</v>
      </c>
      <c r="R965" s="4">
        <v>0</v>
      </c>
      <c r="S965" s="4">
        <v>0</v>
      </c>
      <c r="T965" s="23">
        <v>3.22</v>
      </c>
      <c r="U965" s="23">
        <v>3.2469999999999999</v>
      </c>
      <c r="V965" s="5" t="s">
        <v>415</v>
      </c>
      <c r="W965" s="4">
        <v>4428</v>
      </c>
      <c r="X965" s="4">
        <v>144900</v>
      </c>
      <c r="Y965" s="11">
        <v>43529</v>
      </c>
      <c r="Z965" s="11">
        <v>45189</v>
      </c>
      <c r="AA965" s="2"/>
      <c r="AB965" s="63" t="s">
        <v>3840</v>
      </c>
      <c r="AC965" s="5" t="s">
        <v>9</v>
      </c>
      <c r="AD965" s="76" t="s">
        <v>143</v>
      </c>
      <c r="AE965" s="11">
        <v>44701</v>
      </c>
      <c r="AF965" s="23">
        <v>100</v>
      </c>
      <c r="AG965" s="11">
        <v>44824</v>
      </c>
      <c r="AH965" s="5" t="s">
        <v>3</v>
      </c>
      <c r="AI965" s="5" t="s">
        <v>2618</v>
      </c>
      <c r="AJ965" s="5" t="s">
        <v>3</v>
      </c>
      <c r="AK965" s="16" t="s">
        <v>3</v>
      </c>
      <c r="AL965" s="65" t="s">
        <v>929</v>
      </c>
      <c r="AM965" s="31" t="s">
        <v>1161</v>
      </c>
    </row>
    <row r="966" spans="2:39" x14ac:dyDescent="0.25">
      <c r="B966" s="18" t="s">
        <v>2976</v>
      </c>
      <c r="C966" s="44" t="s">
        <v>1522</v>
      </c>
      <c r="D966" s="20" t="s">
        <v>2355</v>
      </c>
      <c r="E966" s="67" t="s">
        <v>3</v>
      </c>
      <c r="F966" s="51" t="s">
        <v>3</v>
      </c>
      <c r="G966" s="37" t="s">
        <v>1256</v>
      </c>
      <c r="H966" s="68" t="s">
        <v>2715</v>
      </c>
      <c r="I966" s="62" t="s">
        <v>252</v>
      </c>
      <c r="J966" s="61" t="s">
        <v>250</v>
      </c>
      <c r="K966" s="4">
        <v>12998889</v>
      </c>
      <c r="L966" s="39">
        <v>100.238</v>
      </c>
      <c r="M966" s="4">
        <v>13030934</v>
      </c>
      <c r="N966" s="4">
        <v>13000000</v>
      </c>
      <c r="O966" s="4">
        <v>12998935</v>
      </c>
      <c r="P966" s="4">
        <v>0</v>
      </c>
      <c r="Q966" s="4">
        <v>46</v>
      </c>
      <c r="R966" s="4">
        <v>0</v>
      </c>
      <c r="S966" s="4">
        <v>0</v>
      </c>
      <c r="T966" s="23">
        <v>0.77</v>
      </c>
      <c r="U966" s="23">
        <v>0.77300000000000002</v>
      </c>
      <c r="V966" s="5" t="s">
        <v>415</v>
      </c>
      <c r="W966" s="4">
        <v>2781</v>
      </c>
      <c r="X966" s="4">
        <v>13625</v>
      </c>
      <c r="Y966" s="11">
        <v>44131</v>
      </c>
      <c r="Z966" s="11">
        <v>46011</v>
      </c>
      <c r="AA966" s="2"/>
      <c r="AB966" s="63" t="s">
        <v>3840</v>
      </c>
      <c r="AC966" s="5" t="s">
        <v>9</v>
      </c>
      <c r="AD966" s="76" t="s">
        <v>143</v>
      </c>
      <c r="AE966" s="10">
        <v>45280</v>
      </c>
      <c r="AF966" s="23">
        <v>100</v>
      </c>
      <c r="AG966" s="11">
        <v>45402</v>
      </c>
      <c r="AH966" s="5" t="s">
        <v>3</v>
      </c>
      <c r="AI966" s="5" t="s">
        <v>2355</v>
      </c>
      <c r="AJ966" s="5" t="s">
        <v>3</v>
      </c>
      <c r="AK966" s="16" t="s">
        <v>3</v>
      </c>
      <c r="AL966" s="65" t="s">
        <v>2715</v>
      </c>
      <c r="AM966" s="31" t="s">
        <v>898</v>
      </c>
    </row>
    <row r="967" spans="2:39" x14ac:dyDescent="0.25">
      <c r="B967" s="18" t="s">
        <v>4373</v>
      </c>
      <c r="C967" s="44" t="s">
        <v>4374</v>
      </c>
      <c r="D967" s="20" t="s">
        <v>2356</v>
      </c>
      <c r="E967" s="67" t="s">
        <v>3</v>
      </c>
      <c r="F967" s="51" t="s">
        <v>3</v>
      </c>
      <c r="G967" s="37" t="s">
        <v>1987</v>
      </c>
      <c r="H967" s="68" t="s">
        <v>2715</v>
      </c>
      <c r="I967" s="62" t="s">
        <v>3310</v>
      </c>
      <c r="J967" s="61" t="s">
        <v>250</v>
      </c>
      <c r="K967" s="4">
        <v>9498912</v>
      </c>
      <c r="L967" s="39">
        <v>100.104</v>
      </c>
      <c r="M967" s="4">
        <v>9509875</v>
      </c>
      <c r="N967" s="4">
        <v>9500000</v>
      </c>
      <c r="O967" s="4">
        <v>9499287</v>
      </c>
      <c r="P967" s="4">
        <v>0</v>
      </c>
      <c r="Q967" s="4">
        <v>117</v>
      </c>
      <c r="R967" s="4">
        <v>0</v>
      </c>
      <c r="S967" s="4">
        <v>0</v>
      </c>
      <c r="T967" s="23">
        <v>2.5299999999999998</v>
      </c>
      <c r="U967" s="23">
        <v>2.5449999999999999</v>
      </c>
      <c r="V967" s="5" t="s">
        <v>415</v>
      </c>
      <c r="W967" s="4">
        <v>7344</v>
      </c>
      <c r="X967" s="4">
        <v>240350</v>
      </c>
      <c r="Y967" s="11">
        <v>43019</v>
      </c>
      <c r="Z967" s="11">
        <v>44671</v>
      </c>
      <c r="AA967" s="2"/>
      <c r="AB967" s="63" t="s">
        <v>3840</v>
      </c>
      <c r="AC967" s="5" t="s">
        <v>9</v>
      </c>
      <c r="AD967" s="76" t="s">
        <v>143</v>
      </c>
      <c r="AE967" s="6"/>
      <c r="AF967" s="23"/>
      <c r="AG967" s="11">
        <v>44367</v>
      </c>
      <c r="AH967" s="5" t="s">
        <v>3</v>
      </c>
      <c r="AI967" s="5" t="s">
        <v>1889</v>
      </c>
      <c r="AJ967" s="5" t="s">
        <v>928</v>
      </c>
      <c r="AK967" s="16" t="s">
        <v>3</v>
      </c>
      <c r="AL967" s="65" t="s">
        <v>929</v>
      </c>
      <c r="AM967" s="31" t="s">
        <v>2217</v>
      </c>
    </row>
    <row r="968" spans="2:39" x14ac:dyDescent="0.25">
      <c r="B968" s="18" t="s">
        <v>1082</v>
      </c>
      <c r="C968" s="44" t="s">
        <v>1083</v>
      </c>
      <c r="D968" s="20" t="s">
        <v>167</v>
      </c>
      <c r="E968" s="67" t="s">
        <v>3</v>
      </c>
      <c r="F968" s="51" t="s">
        <v>3</v>
      </c>
      <c r="G968" s="37" t="s">
        <v>1256</v>
      </c>
      <c r="H968" s="68" t="s">
        <v>2715</v>
      </c>
      <c r="I968" s="62" t="s">
        <v>3538</v>
      </c>
      <c r="J968" s="61" t="s">
        <v>250</v>
      </c>
      <c r="K968" s="4">
        <v>9498226</v>
      </c>
      <c r="L968" s="39">
        <v>103.071</v>
      </c>
      <c r="M968" s="4">
        <v>9791745</v>
      </c>
      <c r="N968" s="4">
        <v>9500000</v>
      </c>
      <c r="O968" s="4">
        <v>9498564</v>
      </c>
      <c r="P968" s="4">
        <v>0</v>
      </c>
      <c r="Q968" s="4">
        <v>337</v>
      </c>
      <c r="R968" s="4">
        <v>0</v>
      </c>
      <c r="S968" s="4">
        <v>0</v>
      </c>
      <c r="T968" s="23">
        <v>2.06</v>
      </c>
      <c r="U968" s="23">
        <v>2.073</v>
      </c>
      <c r="V968" s="5" t="s">
        <v>415</v>
      </c>
      <c r="W968" s="4">
        <v>5980</v>
      </c>
      <c r="X968" s="4">
        <v>174499</v>
      </c>
      <c r="Y968" s="11">
        <v>43851</v>
      </c>
      <c r="Z968" s="11">
        <v>45495</v>
      </c>
      <c r="AA968" s="2"/>
      <c r="AB968" s="63" t="s">
        <v>3840</v>
      </c>
      <c r="AC968" s="5" t="s">
        <v>9</v>
      </c>
      <c r="AD968" s="76" t="s">
        <v>143</v>
      </c>
      <c r="AE968" s="11">
        <v>45005</v>
      </c>
      <c r="AF968" s="23">
        <v>100</v>
      </c>
      <c r="AG968" s="11">
        <v>45097</v>
      </c>
      <c r="AH968" s="5" t="s">
        <v>3</v>
      </c>
      <c r="AI968" s="5" t="s">
        <v>167</v>
      </c>
      <c r="AJ968" s="5" t="s">
        <v>3</v>
      </c>
      <c r="AK968" s="16" t="s">
        <v>3</v>
      </c>
      <c r="AL968" s="65" t="s">
        <v>929</v>
      </c>
      <c r="AM968" s="31" t="s">
        <v>1161</v>
      </c>
    </row>
    <row r="969" spans="2:39" x14ac:dyDescent="0.25">
      <c r="B969" s="18" t="s">
        <v>2156</v>
      </c>
      <c r="C969" s="44" t="s">
        <v>3461</v>
      </c>
      <c r="D969" s="20" t="s">
        <v>457</v>
      </c>
      <c r="E969" s="67" t="s">
        <v>3</v>
      </c>
      <c r="F969" s="51" t="s">
        <v>3</v>
      </c>
      <c r="G969" s="37" t="s">
        <v>1256</v>
      </c>
      <c r="H969" s="68" t="s">
        <v>2715</v>
      </c>
      <c r="I969" s="62" t="s">
        <v>3538</v>
      </c>
      <c r="J969" s="61" t="s">
        <v>250</v>
      </c>
      <c r="K969" s="4">
        <v>9998188</v>
      </c>
      <c r="L969" s="39">
        <v>102.946</v>
      </c>
      <c r="M969" s="4">
        <v>10294622</v>
      </c>
      <c r="N969" s="4">
        <v>10000000</v>
      </c>
      <c r="O969" s="4">
        <v>9999178</v>
      </c>
      <c r="P969" s="4">
        <v>0</v>
      </c>
      <c r="Q969" s="4">
        <v>624</v>
      </c>
      <c r="R969" s="4">
        <v>0</v>
      </c>
      <c r="S969" s="4">
        <v>0</v>
      </c>
      <c r="T969" s="23">
        <v>3.55</v>
      </c>
      <c r="U969" s="23">
        <v>3.581</v>
      </c>
      <c r="V969" s="5" t="s">
        <v>415</v>
      </c>
      <c r="W969" s="4">
        <v>10847</v>
      </c>
      <c r="X969" s="4">
        <v>355000</v>
      </c>
      <c r="Y969" s="10">
        <v>43375</v>
      </c>
      <c r="Z969" s="10">
        <v>45036</v>
      </c>
      <c r="AA969" s="2"/>
      <c r="AB969" s="63" t="s">
        <v>3840</v>
      </c>
      <c r="AC969" s="5" t="s">
        <v>9</v>
      </c>
      <c r="AD969" s="76" t="s">
        <v>143</v>
      </c>
      <c r="AE969" s="10">
        <v>44550</v>
      </c>
      <c r="AF969" s="23">
        <v>100</v>
      </c>
      <c r="AG969" s="10">
        <v>44732</v>
      </c>
      <c r="AH969" s="5" t="s">
        <v>3</v>
      </c>
      <c r="AI969" s="5" t="s">
        <v>457</v>
      </c>
      <c r="AJ969" s="5" t="s">
        <v>3</v>
      </c>
      <c r="AK969" s="16" t="s">
        <v>3</v>
      </c>
      <c r="AL969" s="65" t="s">
        <v>929</v>
      </c>
      <c r="AM969" s="31" t="s">
        <v>1161</v>
      </c>
    </row>
    <row r="970" spans="2:39" x14ac:dyDescent="0.25">
      <c r="B970" s="18" t="s">
        <v>4100</v>
      </c>
      <c r="C970" s="44" t="s">
        <v>4375</v>
      </c>
      <c r="D970" s="20" t="s">
        <v>4101</v>
      </c>
      <c r="E970" s="67" t="s">
        <v>3</v>
      </c>
      <c r="F970" s="51" t="s">
        <v>3</v>
      </c>
      <c r="G970" s="37" t="s">
        <v>1256</v>
      </c>
      <c r="H970" s="68" t="s">
        <v>2715</v>
      </c>
      <c r="I970" s="62" t="s">
        <v>1157</v>
      </c>
      <c r="J970" s="61" t="s">
        <v>250</v>
      </c>
      <c r="K970" s="4">
        <v>6028085</v>
      </c>
      <c r="L970" s="39">
        <v>101.343</v>
      </c>
      <c r="M970" s="4">
        <v>6080573</v>
      </c>
      <c r="N970" s="4">
        <v>6000000</v>
      </c>
      <c r="O970" s="4">
        <v>6008219</v>
      </c>
      <c r="P970" s="4">
        <v>0</v>
      </c>
      <c r="Q970" s="4">
        <v>-10967</v>
      </c>
      <c r="R970" s="4">
        <v>0</v>
      </c>
      <c r="S970" s="4">
        <v>0</v>
      </c>
      <c r="T970" s="23">
        <v>3.2</v>
      </c>
      <c r="U970" s="23">
        <v>3.0209999999999999</v>
      </c>
      <c r="V970" s="5" t="s">
        <v>415</v>
      </c>
      <c r="W970" s="4">
        <v>5867</v>
      </c>
      <c r="X970" s="4">
        <v>192000</v>
      </c>
      <c r="Y970" s="10">
        <v>43551</v>
      </c>
      <c r="Z970" s="10">
        <v>44824</v>
      </c>
      <c r="AA970" s="2"/>
      <c r="AB970" s="63" t="s">
        <v>3840</v>
      </c>
      <c r="AC970" s="5" t="s">
        <v>9</v>
      </c>
      <c r="AD970" s="76" t="s">
        <v>143</v>
      </c>
      <c r="AE970" s="10">
        <v>44336</v>
      </c>
      <c r="AF970" s="23">
        <v>100</v>
      </c>
      <c r="AG970" s="10">
        <v>44520</v>
      </c>
      <c r="AH970" s="5" t="s">
        <v>3</v>
      </c>
      <c r="AI970" s="5" t="s">
        <v>4376</v>
      </c>
      <c r="AJ970" s="5" t="s">
        <v>928</v>
      </c>
      <c r="AK970" s="16" t="s">
        <v>3</v>
      </c>
      <c r="AL970" s="65" t="s">
        <v>929</v>
      </c>
      <c r="AM970" s="31" t="s">
        <v>1631</v>
      </c>
    </row>
    <row r="971" spans="2:39" x14ac:dyDescent="0.25">
      <c r="B971" s="18" t="s">
        <v>797</v>
      </c>
      <c r="C971" s="44" t="s">
        <v>4377</v>
      </c>
      <c r="D971" s="20" t="s">
        <v>2977</v>
      </c>
      <c r="E971" s="67" t="s">
        <v>3</v>
      </c>
      <c r="F971" s="51" t="s">
        <v>3</v>
      </c>
      <c r="G971" s="37" t="s">
        <v>1987</v>
      </c>
      <c r="H971" s="68" t="s">
        <v>2715</v>
      </c>
      <c r="I971" s="62" t="s">
        <v>3310</v>
      </c>
      <c r="J971" s="61" t="s">
        <v>250</v>
      </c>
      <c r="K971" s="4">
        <v>4998648</v>
      </c>
      <c r="L971" s="39">
        <v>100.078</v>
      </c>
      <c r="M971" s="4">
        <v>5003884</v>
      </c>
      <c r="N971" s="4">
        <v>5000000</v>
      </c>
      <c r="O971" s="4">
        <v>4999634</v>
      </c>
      <c r="P971" s="4">
        <v>0</v>
      </c>
      <c r="Q971" s="4">
        <v>237</v>
      </c>
      <c r="R971" s="4">
        <v>0</v>
      </c>
      <c r="S971" s="4">
        <v>0</v>
      </c>
      <c r="T971" s="23">
        <v>2.6</v>
      </c>
      <c r="U971" s="23">
        <v>2.62</v>
      </c>
      <c r="V971" s="5" t="s">
        <v>415</v>
      </c>
      <c r="W971" s="4">
        <v>5778</v>
      </c>
      <c r="X971" s="4">
        <v>130000</v>
      </c>
      <c r="Y971" s="10">
        <v>42779</v>
      </c>
      <c r="Z971" s="10">
        <v>45397</v>
      </c>
      <c r="AA971" s="2"/>
      <c r="AB971" s="63" t="s">
        <v>3840</v>
      </c>
      <c r="AC971" s="5" t="s">
        <v>9</v>
      </c>
      <c r="AD971" s="76" t="s">
        <v>4350</v>
      </c>
      <c r="AE971" s="6"/>
      <c r="AF971" s="23"/>
      <c r="AG971" s="10">
        <v>44454</v>
      </c>
      <c r="AH971" s="5" t="s">
        <v>3</v>
      </c>
      <c r="AI971" s="5" t="s">
        <v>2157</v>
      </c>
      <c r="AJ971" s="5" t="s">
        <v>2157</v>
      </c>
      <c r="AK971" s="16" t="s">
        <v>3</v>
      </c>
      <c r="AL971" s="65" t="s">
        <v>929</v>
      </c>
      <c r="AM971" s="31" t="s">
        <v>2217</v>
      </c>
    </row>
    <row r="972" spans="2:39" x14ac:dyDescent="0.25">
      <c r="B972" s="18" t="s">
        <v>1890</v>
      </c>
      <c r="C972" s="44" t="s">
        <v>3731</v>
      </c>
      <c r="D972" s="20" t="s">
        <v>3244</v>
      </c>
      <c r="E972" s="67" t="s">
        <v>3</v>
      </c>
      <c r="F972" s="51" t="s">
        <v>3</v>
      </c>
      <c r="G972" s="37" t="s">
        <v>1256</v>
      </c>
      <c r="H972" s="68" t="s">
        <v>2715</v>
      </c>
      <c r="I972" s="62" t="s">
        <v>252</v>
      </c>
      <c r="J972" s="61" t="s">
        <v>250</v>
      </c>
      <c r="K972" s="4">
        <v>4398940</v>
      </c>
      <c r="L972" s="39">
        <v>103.47799999999999</v>
      </c>
      <c r="M972" s="4">
        <v>4553050</v>
      </c>
      <c r="N972" s="4">
        <v>4400000</v>
      </c>
      <c r="O972" s="4">
        <v>4399189</v>
      </c>
      <c r="P972" s="4">
        <v>0</v>
      </c>
      <c r="Q972" s="4">
        <v>222</v>
      </c>
      <c r="R972" s="4">
        <v>0</v>
      </c>
      <c r="S972" s="4">
        <v>0</v>
      </c>
      <c r="T972" s="23">
        <v>2.5</v>
      </c>
      <c r="U972" s="23">
        <v>2.5190000000000001</v>
      </c>
      <c r="V972" s="5" t="s">
        <v>415</v>
      </c>
      <c r="W972" s="4">
        <v>4889</v>
      </c>
      <c r="X972" s="4">
        <v>110000</v>
      </c>
      <c r="Y972" s="10">
        <v>43774</v>
      </c>
      <c r="Z972" s="10">
        <v>46524</v>
      </c>
      <c r="AA972" s="2"/>
      <c r="AB972" s="63" t="s">
        <v>3840</v>
      </c>
      <c r="AC972" s="5" t="s">
        <v>9</v>
      </c>
      <c r="AD972" s="76" t="s">
        <v>4350</v>
      </c>
      <c r="AE972" s="10">
        <v>45122</v>
      </c>
      <c r="AF972" s="23">
        <v>100</v>
      </c>
      <c r="AG972" s="10">
        <v>45427</v>
      </c>
      <c r="AH972" s="5" t="s">
        <v>3</v>
      </c>
      <c r="AI972" s="5" t="s">
        <v>2157</v>
      </c>
      <c r="AJ972" s="5" t="s">
        <v>928</v>
      </c>
      <c r="AK972" s="16" t="s">
        <v>3</v>
      </c>
      <c r="AL972" s="65" t="s">
        <v>929</v>
      </c>
      <c r="AM972" s="31" t="s">
        <v>898</v>
      </c>
    </row>
    <row r="973" spans="2:39" x14ac:dyDescent="0.25">
      <c r="B973" s="18" t="s">
        <v>2978</v>
      </c>
      <c r="C973" s="44" t="s">
        <v>798</v>
      </c>
      <c r="D973" s="20" t="s">
        <v>3244</v>
      </c>
      <c r="E973" s="67" t="s">
        <v>3</v>
      </c>
      <c r="F973" s="51" t="s">
        <v>3</v>
      </c>
      <c r="G973" s="37" t="s">
        <v>1256</v>
      </c>
      <c r="H973" s="68" t="s">
        <v>2715</v>
      </c>
      <c r="I973" s="62" t="s">
        <v>1157</v>
      </c>
      <c r="J973" s="61" t="s">
        <v>250</v>
      </c>
      <c r="K973" s="4">
        <v>5999914</v>
      </c>
      <c r="L973" s="39">
        <v>101.36</v>
      </c>
      <c r="M973" s="4">
        <v>6081619</v>
      </c>
      <c r="N973" s="4">
        <v>6000000</v>
      </c>
      <c r="O973" s="4">
        <v>5999900</v>
      </c>
      <c r="P973" s="4">
        <v>0</v>
      </c>
      <c r="Q973" s="4">
        <v>-2</v>
      </c>
      <c r="R973" s="4">
        <v>0</v>
      </c>
      <c r="S973" s="4">
        <v>0</v>
      </c>
      <c r="T973" s="23">
        <v>3.06</v>
      </c>
      <c r="U973" s="23">
        <v>3.0790000000000002</v>
      </c>
      <c r="V973" s="5" t="s">
        <v>415</v>
      </c>
      <c r="W973" s="4">
        <v>8160</v>
      </c>
      <c r="X973" s="4">
        <v>183600</v>
      </c>
      <c r="Y973" s="10">
        <v>43137</v>
      </c>
      <c r="Z973" s="10">
        <v>46006</v>
      </c>
      <c r="AA973" s="2"/>
      <c r="AB973" s="63" t="s">
        <v>3840</v>
      </c>
      <c r="AC973" s="5" t="s">
        <v>9</v>
      </c>
      <c r="AD973" s="76" t="s">
        <v>4350</v>
      </c>
      <c r="AE973" s="10">
        <v>44454</v>
      </c>
      <c r="AF973" s="23">
        <v>100</v>
      </c>
      <c r="AG973" s="10">
        <v>44788</v>
      </c>
      <c r="AH973" s="5" t="s">
        <v>3</v>
      </c>
      <c r="AI973" s="5" t="s">
        <v>2157</v>
      </c>
      <c r="AJ973" s="5" t="s">
        <v>928</v>
      </c>
      <c r="AK973" s="16" t="s">
        <v>3</v>
      </c>
      <c r="AL973" s="65" t="s">
        <v>929</v>
      </c>
      <c r="AM973" s="31" t="s">
        <v>1631</v>
      </c>
    </row>
    <row r="974" spans="2:39" x14ac:dyDescent="0.25">
      <c r="B974" s="18" t="s">
        <v>4102</v>
      </c>
      <c r="C974" s="44" t="s">
        <v>3462</v>
      </c>
      <c r="D974" s="20" t="s">
        <v>3244</v>
      </c>
      <c r="E974" s="67" t="s">
        <v>3</v>
      </c>
      <c r="F974" s="51" t="s">
        <v>3</v>
      </c>
      <c r="G974" s="37" t="s">
        <v>1256</v>
      </c>
      <c r="H974" s="68" t="s">
        <v>2715</v>
      </c>
      <c r="I974" s="62" t="s">
        <v>1157</v>
      </c>
      <c r="J974" s="61" t="s">
        <v>250</v>
      </c>
      <c r="K974" s="4">
        <v>3648954</v>
      </c>
      <c r="L974" s="39">
        <v>104.33</v>
      </c>
      <c r="M974" s="4">
        <v>3808054</v>
      </c>
      <c r="N974" s="4">
        <v>3650000</v>
      </c>
      <c r="O974" s="4">
        <v>3649355</v>
      </c>
      <c r="P974" s="4">
        <v>0</v>
      </c>
      <c r="Q974" s="4">
        <v>222</v>
      </c>
      <c r="R974" s="4">
        <v>0</v>
      </c>
      <c r="S974" s="4">
        <v>0</v>
      </c>
      <c r="T974" s="23">
        <v>3.26</v>
      </c>
      <c r="U974" s="23">
        <v>3.2890000000000001</v>
      </c>
      <c r="V974" s="5" t="s">
        <v>415</v>
      </c>
      <c r="W974" s="4">
        <v>5288</v>
      </c>
      <c r="X974" s="4">
        <v>118990</v>
      </c>
      <c r="Y974" s="10">
        <v>43501</v>
      </c>
      <c r="Z974" s="10">
        <v>45307</v>
      </c>
      <c r="AA974" s="2"/>
      <c r="AB974" s="63" t="s">
        <v>3840</v>
      </c>
      <c r="AC974" s="5" t="s">
        <v>9</v>
      </c>
      <c r="AD974" s="76" t="s">
        <v>4350</v>
      </c>
      <c r="AE974" s="10">
        <v>44788</v>
      </c>
      <c r="AF974" s="23">
        <v>100</v>
      </c>
      <c r="AG974" s="10">
        <v>45000</v>
      </c>
      <c r="AH974" s="5" t="s">
        <v>3</v>
      </c>
      <c r="AI974" s="5" t="s">
        <v>2157</v>
      </c>
      <c r="AJ974" s="5" t="s">
        <v>928</v>
      </c>
      <c r="AK974" s="16" t="s">
        <v>3</v>
      </c>
      <c r="AL974" s="65" t="s">
        <v>929</v>
      </c>
      <c r="AM974" s="31" t="s">
        <v>1631</v>
      </c>
    </row>
    <row r="975" spans="2:39" x14ac:dyDescent="0.25">
      <c r="B975" s="18" t="s">
        <v>799</v>
      </c>
      <c r="C975" s="44" t="s">
        <v>2158</v>
      </c>
      <c r="D975" s="20" t="s">
        <v>3244</v>
      </c>
      <c r="E975" s="67" t="s">
        <v>3</v>
      </c>
      <c r="F975" s="51" t="s">
        <v>3</v>
      </c>
      <c r="G975" s="37" t="s">
        <v>1256</v>
      </c>
      <c r="H975" s="68" t="s">
        <v>2715</v>
      </c>
      <c r="I975" s="62" t="s">
        <v>252</v>
      </c>
      <c r="J975" s="61" t="s">
        <v>250</v>
      </c>
      <c r="K975" s="4">
        <v>4769120</v>
      </c>
      <c r="L975" s="39">
        <v>104.16</v>
      </c>
      <c r="M975" s="4">
        <v>4968422</v>
      </c>
      <c r="N975" s="4">
        <v>4770000</v>
      </c>
      <c r="O975" s="4">
        <v>4769333</v>
      </c>
      <c r="P975" s="4">
        <v>0</v>
      </c>
      <c r="Q975" s="4">
        <v>98</v>
      </c>
      <c r="R975" s="4">
        <v>0</v>
      </c>
      <c r="S975" s="4">
        <v>0</v>
      </c>
      <c r="T975" s="23">
        <v>3.48</v>
      </c>
      <c r="U975" s="23">
        <v>3.508</v>
      </c>
      <c r="V975" s="5" t="s">
        <v>415</v>
      </c>
      <c r="W975" s="4">
        <v>7378</v>
      </c>
      <c r="X975" s="4">
        <v>165996</v>
      </c>
      <c r="Y975" s="10">
        <v>43501</v>
      </c>
      <c r="Z975" s="10">
        <v>46127</v>
      </c>
      <c r="AA975" s="2"/>
      <c r="AB975" s="63" t="s">
        <v>3840</v>
      </c>
      <c r="AC975" s="5" t="s">
        <v>9</v>
      </c>
      <c r="AD975" s="76" t="s">
        <v>4350</v>
      </c>
      <c r="AE975" s="10">
        <v>44788</v>
      </c>
      <c r="AF975" s="23">
        <v>100</v>
      </c>
      <c r="AG975" s="10">
        <v>45122</v>
      </c>
      <c r="AH975" s="5" t="s">
        <v>3</v>
      </c>
      <c r="AI975" s="5" t="s">
        <v>2157</v>
      </c>
      <c r="AJ975" s="5" t="s">
        <v>928</v>
      </c>
      <c r="AK975" s="16" t="s">
        <v>3</v>
      </c>
      <c r="AL975" s="65" t="s">
        <v>929</v>
      </c>
      <c r="AM975" s="31" t="s">
        <v>898</v>
      </c>
    </row>
    <row r="976" spans="2:39" x14ac:dyDescent="0.25">
      <c r="B976" s="18" t="s">
        <v>2159</v>
      </c>
      <c r="C976" s="44" t="s">
        <v>1891</v>
      </c>
      <c r="D976" s="20" t="s">
        <v>2619</v>
      </c>
      <c r="E976" s="67" t="s">
        <v>3</v>
      </c>
      <c r="F976" s="51" t="s">
        <v>3</v>
      </c>
      <c r="G976" s="37" t="s">
        <v>1256</v>
      </c>
      <c r="H976" s="68" t="s">
        <v>3842</v>
      </c>
      <c r="I976" s="62" t="s">
        <v>10</v>
      </c>
      <c r="J976" s="61" t="s">
        <v>250</v>
      </c>
      <c r="K976" s="4">
        <v>5325237</v>
      </c>
      <c r="L976" s="39">
        <v>103.084</v>
      </c>
      <c r="M976" s="4">
        <v>5499531</v>
      </c>
      <c r="N976" s="4">
        <v>5335000</v>
      </c>
      <c r="O976" s="4">
        <v>5327944</v>
      </c>
      <c r="P976" s="4">
        <v>0</v>
      </c>
      <c r="Q976" s="4">
        <v>1532</v>
      </c>
      <c r="R976" s="4">
        <v>0</v>
      </c>
      <c r="S976" s="4">
        <v>0</v>
      </c>
      <c r="T976" s="23">
        <v>3.573</v>
      </c>
      <c r="U976" s="23">
        <v>3.65</v>
      </c>
      <c r="V976" s="5" t="s">
        <v>325</v>
      </c>
      <c r="W976" s="4">
        <v>8472</v>
      </c>
      <c r="X976" s="4">
        <v>190620</v>
      </c>
      <c r="Y976" s="10">
        <v>43553</v>
      </c>
      <c r="Z976" s="10">
        <v>54132</v>
      </c>
      <c r="AA976" s="2"/>
      <c r="AB976" s="63" t="s">
        <v>3840</v>
      </c>
      <c r="AC976" s="5" t="s">
        <v>9</v>
      </c>
      <c r="AD976" s="76" t="s">
        <v>143</v>
      </c>
      <c r="AE976" s="10">
        <v>44635</v>
      </c>
      <c r="AF976" s="23">
        <v>100</v>
      </c>
      <c r="AG976" s="10">
        <v>45731</v>
      </c>
      <c r="AH976" s="5" t="s">
        <v>3</v>
      </c>
      <c r="AI976" s="5" t="s">
        <v>2357</v>
      </c>
      <c r="AJ976" s="5" t="s">
        <v>928</v>
      </c>
      <c r="AK976" s="16" t="s">
        <v>3</v>
      </c>
      <c r="AL976" s="65" t="s">
        <v>3842</v>
      </c>
      <c r="AM976" s="31" t="s">
        <v>1176</v>
      </c>
    </row>
    <row r="977" spans="2:39" x14ac:dyDescent="0.25">
      <c r="B977" s="18" t="s">
        <v>3245</v>
      </c>
      <c r="C977" s="44" t="s">
        <v>2979</v>
      </c>
      <c r="D977" s="20" t="s">
        <v>4378</v>
      </c>
      <c r="E977" s="67" t="s">
        <v>3</v>
      </c>
      <c r="F977" s="51" t="s">
        <v>3</v>
      </c>
      <c r="G977" s="37" t="s">
        <v>1256</v>
      </c>
      <c r="H977" s="68" t="s">
        <v>3842</v>
      </c>
      <c r="I977" s="62" t="s">
        <v>10</v>
      </c>
      <c r="J977" s="61" t="s">
        <v>250</v>
      </c>
      <c r="K977" s="4">
        <v>3860000</v>
      </c>
      <c r="L977" s="39">
        <v>105.953</v>
      </c>
      <c r="M977" s="4">
        <v>4089786</v>
      </c>
      <c r="N977" s="4">
        <v>3860000</v>
      </c>
      <c r="O977" s="4">
        <v>3860000</v>
      </c>
      <c r="P977" s="4">
        <v>0</v>
      </c>
      <c r="Q977" s="4">
        <v>0</v>
      </c>
      <c r="R977" s="4">
        <v>0</v>
      </c>
      <c r="S977" s="4">
        <v>0</v>
      </c>
      <c r="T977" s="23">
        <v>3.7829999999999999</v>
      </c>
      <c r="U977" s="23">
        <v>3.8</v>
      </c>
      <c r="V977" s="5" t="s">
        <v>325</v>
      </c>
      <c r="W977" s="4">
        <v>6490</v>
      </c>
      <c r="X977" s="4">
        <v>146024</v>
      </c>
      <c r="Y977" s="10">
        <v>43629</v>
      </c>
      <c r="Z977" s="10">
        <v>54589</v>
      </c>
      <c r="AA977" s="2"/>
      <c r="AB977" s="63" t="s">
        <v>3840</v>
      </c>
      <c r="AC977" s="5" t="s">
        <v>9</v>
      </c>
      <c r="AD977" s="76" t="s">
        <v>143</v>
      </c>
      <c r="AE977" s="10">
        <v>45366</v>
      </c>
      <c r="AF977" s="23">
        <v>100</v>
      </c>
      <c r="AG977" s="10">
        <v>46280</v>
      </c>
      <c r="AH977" s="5" t="s">
        <v>3</v>
      </c>
      <c r="AI977" s="5" t="s">
        <v>2160</v>
      </c>
      <c r="AJ977" s="5" t="s">
        <v>928</v>
      </c>
      <c r="AK977" s="16" t="s">
        <v>3</v>
      </c>
      <c r="AL977" s="65" t="s">
        <v>3842</v>
      </c>
      <c r="AM977" s="31" t="s">
        <v>1176</v>
      </c>
    </row>
    <row r="978" spans="2:39" x14ac:dyDescent="0.25">
      <c r="B978" s="18" t="s">
        <v>4379</v>
      </c>
      <c r="C978" s="44" t="s">
        <v>1084</v>
      </c>
      <c r="D978" s="20" t="s">
        <v>1277</v>
      </c>
      <c r="E978" s="67" t="s">
        <v>3</v>
      </c>
      <c r="F978" s="51" t="s">
        <v>3</v>
      </c>
      <c r="G978" s="37" t="s">
        <v>1256</v>
      </c>
      <c r="H978" s="68" t="s">
        <v>2715</v>
      </c>
      <c r="I978" s="62" t="s">
        <v>1157</v>
      </c>
      <c r="J978" s="61" t="s">
        <v>250</v>
      </c>
      <c r="K978" s="4">
        <v>8498497</v>
      </c>
      <c r="L978" s="39">
        <v>102.245</v>
      </c>
      <c r="M978" s="4">
        <v>8690791</v>
      </c>
      <c r="N978" s="4">
        <v>8500000</v>
      </c>
      <c r="O978" s="4">
        <v>8499506</v>
      </c>
      <c r="P978" s="4">
        <v>0</v>
      </c>
      <c r="Q978" s="4">
        <v>580</v>
      </c>
      <c r="R978" s="4">
        <v>0</v>
      </c>
      <c r="S978" s="4">
        <v>0</v>
      </c>
      <c r="T978" s="23">
        <v>3.24</v>
      </c>
      <c r="U978" s="23">
        <v>3.2690000000000001</v>
      </c>
      <c r="V978" s="5" t="s">
        <v>415</v>
      </c>
      <c r="W978" s="4">
        <v>12240</v>
      </c>
      <c r="X978" s="4">
        <v>275400</v>
      </c>
      <c r="Y978" s="10">
        <v>43532</v>
      </c>
      <c r="Z978" s="10">
        <v>45488</v>
      </c>
      <c r="AA978" s="2"/>
      <c r="AB978" s="63" t="s">
        <v>3840</v>
      </c>
      <c r="AC978" s="5" t="s">
        <v>9</v>
      </c>
      <c r="AD978" s="76" t="s">
        <v>1987</v>
      </c>
      <c r="AE978" s="10">
        <v>44515</v>
      </c>
      <c r="AF978" s="23">
        <v>100</v>
      </c>
      <c r="AG978" s="10">
        <v>44515</v>
      </c>
      <c r="AH978" s="5" t="s">
        <v>3</v>
      </c>
      <c r="AI978" s="5" t="s">
        <v>2620</v>
      </c>
      <c r="AJ978" s="5" t="s">
        <v>2620</v>
      </c>
      <c r="AK978" s="16" t="s">
        <v>3</v>
      </c>
      <c r="AL978" s="65" t="s">
        <v>929</v>
      </c>
      <c r="AM978" s="31" t="s">
        <v>1631</v>
      </c>
    </row>
    <row r="979" spans="2:39" x14ac:dyDescent="0.25">
      <c r="B979" s="18" t="s">
        <v>1085</v>
      </c>
      <c r="C979" s="44" t="s">
        <v>1278</v>
      </c>
      <c r="D979" s="20" t="s">
        <v>1523</v>
      </c>
      <c r="E979" s="67" t="s">
        <v>3</v>
      </c>
      <c r="F979" s="51" t="s">
        <v>3</v>
      </c>
      <c r="G979" s="37" t="s">
        <v>1987</v>
      </c>
      <c r="H979" s="68" t="s">
        <v>2715</v>
      </c>
      <c r="I979" s="62" t="s">
        <v>1157</v>
      </c>
      <c r="J979" s="61" t="s">
        <v>250</v>
      </c>
      <c r="K979" s="4">
        <v>5249301</v>
      </c>
      <c r="L979" s="39">
        <v>104.929</v>
      </c>
      <c r="M979" s="4">
        <v>5508767</v>
      </c>
      <c r="N979" s="4">
        <v>5250000</v>
      </c>
      <c r="O979" s="4">
        <v>5249573</v>
      </c>
      <c r="P979" s="4">
        <v>0</v>
      </c>
      <c r="Q979" s="4">
        <v>155</v>
      </c>
      <c r="R979" s="4">
        <v>0</v>
      </c>
      <c r="S979" s="4">
        <v>0</v>
      </c>
      <c r="T979" s="23">
        <v>3.34</v>
      </c>
      <c r="U979" s="23">
        <v>3.367</v>
      </c>
      <c r="V979" s="5" t="s">
        <v>415</v>
      </c>
      <c r="W979" s="4">
        <v>7793</v>
      </c>
      <c r="X979" s="4">
        <v>175350</v>
      </c>
      <c r="Y979" s="10">
        <v>43488</v>
      </c>
      <c r="Z979" s="10">
        <v>45824</v>
      </c>
      <c r="AA979" s="2"/>
      <c r="AB979" s="63" t="s">
        <v>3840</v>
      </c>
      <c r="AC979" s="5" t="s">
        <v>4198</v>
      </c>
      <c r="AD979" s="76" t="s">
        <v>1987</v>
      </c>
      <c r="AE979" s="6"/>
      <c r="AF979" s="23"/>
      <c r="AG979" s="10">
        <v>45245</v>
      </c>
      <c r="AH979" s="5" t="s">
        <v>3</v>
      </c>
      <c r="AI979" s="5" t="s">
        <v>3246</v>
      </c>
      <c r="AJ979" s="5" t="s">
        <v>3246</v>
      </c>
      <c r="AK979" s="16" t="s">
        <v>3</v>
      </c>
      <c r="AL979" s="65" t="s">
        <v>929</v>
      </c>
      <c r="AM979" s="31" t="s">
        <v>1631</v>
      </c>
    </row>
    <row r="980" spans="2:39" x14ac:dyDescent="0.25">
      <c r="B980" s="18" t="s">
        <v>2358</v>
      </c>
      <c r="C980" s="44" t="s">
        <v>2161</v>
      </c>
      <c r="D980" s="20" t="s">
        <v>1523</v>
      </c>
      <c r="E980" s="67" t="s">
        <v>3</v>
      </c>
      <c r="F980" s="51" t="s">
        <v>3</v>
      </c>
      <c r="G980" s="37" t="s">
        <v>1256</v>
      </c>
      <c r="H980" s="68" t="s">
        <v>2715</v>
      </c>
      <c r="I980" s="62" t="s">
        <v>3310</v>
      </c>
      <c r="J980" s="61" t="s">
        <v>250</v>
      </c>
      <c r="K980" s="4">
        <v>13998249</v>
      </c>
      <c r="L980" s="39">
        <v>100.452</v>
      </c>
      <c r="M980" s="4">
        <v>14063214</v>
      </c>
      <c r="N980" s="4">
        <v>14000000</v>
      </c>
      <c r="O980" s="4">
        <v>13998399</v>
      </c>
      <c r="P980" s="4">
        <v>0</v>
      </c>
      <c r="Q980" s="4">
        <v>149</v>
      </c>
      <c r="R980" s="4">
        <v>0</v>
      </c>
      <c r="S980" s="4">
        <v>0</v>
      </c>
      <c r="T980" s="23">
        <v>0.61</v>
      </c>
      <c r="U980" s="23">
        <v>0.61399999999999999</v>
      </c>
      <c r="V980" s="5" t="s">
        <v>415</v>
      </c>
      <c r="W980" s="4">
        <v>3796</v>
      </c>
      <c r="X980" s="4">
        <v>27518</v>
      </c>
      <c r="Y980" s="10">
        <v>44054</v>
      </c>
      <c r="Z980" s="10">
        <v>46310</v>
      </c>
      <c r="AA980" s="2"/>
      <c r="AB980" s="63" t="s">
        <v>3840</v>
      </c>
      <c r="AC980" s="5" t="s">
        <v>4198</v>
      </c>
      <c r="AD980" s="76" t="s">
        <v>1987</v>
      </c>
      <c r="AE980" s="10">
        <v>45519</v>
      </c>
      <c r="AF980" s="23">
        <v>100</v>
      </c>
      <c r="AG980" s="10">
        <v>45762</v>
      </c>
      <c r="AH980" s="5" t="s">
        <v>3</v>
      </c>
      <c r="AI980" s="5" t="s">
        <v>3246</v>
      </c>
      <c r="AJ980" s="5" t="s">
        <v>3246</v>
      </c>
      <c r="AK980" s="16" t="s">
        <v>3</v>
      </c>
      <c r="AL980" s="65" t="s">
        <v>3842</v>
      </c>
      <c r="AM980" s="31" t="s">
        <v>2217</v>
      </c>
    </row>
    <row r="981" spans="2:39" x14ac:dyDescent="0.25">
      <c r="B981" s="18" t="s">
        <v>3732</v>
      </c>
      <c r="C981" s="44" t="s">
        <v>1892</v>
      </c>
      <c r="D981" s="20" t="s">
        <v>1523</v>
      </c>
      <c r="E981" s="67" t="s">
        <v>3</v>
      </c>
      <c r="F981" s="51" t="s">
        <v>3</v>
      </c>
      <c r="G981" s="37" t="s">
        <v>1256</v>
      </c>
      <c r="H981" s="68" t="s">
        <v>2715</v>
      </c>
      <c r="I981" s="62" t="s">
        <v>252</v>
      </c>
      <c r="J981" s="61" t="s">
        <v>250</v>
      </c>
      <c r="K981" s="4">
        <v>3899704</v>
      </c>
      <c r="L981" s="39">
        <v>100.75</v>
      </c>
      <c r="M981" s="4">
        <v>3929258</v>
      </c>
      <c r="N981" s="4">
        <v>3900000</v>
      </c>
      <c r="O981" s="4">
        <v>3899723</v>
      </c>
      <c r="P981" s="4">
        <v>0</v>
      </c>
      <c r="Q981" s="4">
        <v>18</v>
      </c>
      <c r="R981" s="4">
        <v>0</v>
      </c>
      <c r="S981" s="4">
        <v>0</v>
      </c>
      <c r="T981" s="23">
        <v>1.39</v>
      </c>
      <c r="U981" s="23">
        <v>1.395</v>
      </c>
      <c r="V981" s="5" t="s">
        <v>415</v>
      </c>
      <c r="W981" s="4">
        <v>2409</v>
      </c>
      <c r="X981" s="4">
        <v>17468</v>
      </c>
      <c r="Y981" s="10">
        <v>44054</v>
      </c>
      <c r="Z981" s="10">
        <v>46524</v>
      </c>
      <c r="AA981" s="2"/>
      <c r="AB981" s="63" t="s">
        <v>3840</v>
      </c>
      <c r="AC981" s="5" t="s">
        <v>9</v>
      </c>
      <c r="AD981" s="76" t="s">
        <v>1987</v>
      </c>
      <c r="AE981" s="10">
        <v>45519</v>
      </c>
      <c r="AF981" s="23">
        <v>100</v>
      </c>
      <c r="AG981" s="10">
        <v>46127</v>
      </c>
      <c r="AH981" s="5" t="s">
        <v>3</v>
      </c>
      <c r="AI981" s="5" t="s">
        <v>3246</v>
      </c>
      <c r="AJ981" s="5" t="s">
        <v>3246</v>
      </c>
      <c r="AK981" s="16" t="s">
        <v>3</v>
      </c>
      <c r="AL981" s="65" t="s">
        <v>3842</v>
      </c>
      <c r="AM981" s="31" t="s">
        <v>898</v>
      </c>
    </row>
    <row r="982" spans="2:39" x14ac:dyDescent="0.25">
      <c r="B982" s="18" t="s">
        <v>458</v>
      </c>
      <c r="C982" s="44" t="s">
        <v>800</v>
      </c>
      <c r="D982" s="20" t="s">
        <v>2359</v>
      </c>
      <c r="E982" s="67" t="s">
        <v>3</v>
      </c>
      <c r="F982" s="51" t="s">
        <v>3</v>
      </c>
      <c r="G982" s="37" t="s">
        <v>2715</v>
      </c>
      <c r="H982" s="68" t="s">
        <v>2715</v>
      </c>
      <c r="I982" s="62" t="s">
        <v>1358</v>
      </c>
      <c r="J982" s="61" t="s">
        <v>250</v>
      </c>
      <c r="K982" s="4">
        <v>2692800</v>
      </c>
      <c r="L982" s="39">
        <v>96.775999999999996</v>
      </c>
      <c r="M982" s="4">
        <v>2605984</v>
      </c>
      <c r="N982" s="4">
        <v>2692800</v>
      </c>
      <c r="O982" s="4">
        <v>2692800</v>
      </c>
      <c r="P982" s="4">
        <v>0</v>
      </c>
      <c r="Q982" s="4">
        <v>0</v>
      </c>
      <c r="R982" s="4">
        <v>0</v>
      </c>
      <c r="S982" s="4">
        <v>0</v>
      </c>
      <c r="T982" s="23">
        <v>3.3</v>
      </c>
      <c r="U982" s="23">
        <v>3.2989999999999999</v>
      </c>
      <c r="V982" s="5" t="s">
        <v>1982</v>
      </c>
      <c r="W982" s="4">
        <v>40975</v>
      </c>
      <c r="X982" s="4">
        <v>88862</v>
      </c>
      <c r="Y982" s="10">
        <v>43076</v>
      </c>
      <c r="Z982" s="10">
        <v>47498</v>
      </c>
      <c r="AA982" s="2"/>
      <c r="AB982" s="63" t="s">
        <v>3840</v>
      </c>
      <c r="AC982" s="5" t="s">
        <v>4198</v>
      </c>
      <c r="AD982" s="76" t="s">
        <v>4350</v>
      </c>
      <c r="AE982" s="6"/>
      <c r="AF982" s="23"/>
      <c r="AG982" s="10">
        <v>47314</v>
      </c>
      <c r="AH982" s="5" t="s">
        <v>3</v>
      </c>
      <c r="AI982" s="5" t="s">
        <v>459</v>
      </c>
      <c r="AJ982" s="5" t="s">
        <v>928</v>
      </c>
      <c r="AK982" s="16" t="s">
        <v>3</v>
      </c>
      <c r="AL982" s="65" t="s">
        <v>3842</v>
      </c>
      <c r="AM982" s="31" t="s">
        <v>559</v>
      </c>
    </row>
    <row r="983" spans="2:39" x14ac:dyDescent="0.25">
      <c r="B983" s="18" t="s">
        <v>1524</v>
      </c>
      <c r="C983" s="44" t="s">
        <v>1525</v>
      </c>
      <c r="D983" s="20" t="s">
        <v>2360</v>
      </c>
      <c r="E983" s="67" t="s">
        <v>3</v>
      </c>
      <c r="F983" s="51" t="s">
        <v>3</v>
      </c>
      <c r="G983" s="37" t="s">
        <v>3</v>
      </c>
      <c r="H983" s="68" t="s">
        <v>2715</v>
      </c>
      <c r="I983" s="62" t="s">
        <v>252</v>
      </c>
      <c r="J983" s="61" t="s">
        <v>250</v>
      </c>
      <c r="K983" s="4">
        <v>2327637</v>
      </c>
      <c r="L983" s="39">
        <v>98.147999999999996</v>
      </c>
      <c r="M983" s="4">
        <v>2259114</v>
      </c>
      <c r="N983" s="4">
        <v>2301742</v>
      </c>
      <c r="O983" s="4">
        <v>2318981</v>
      </c>
      <c r="P983" s="4">
        <v>0</v>
      </c>
      <c r="Q983" s="4">
        <v>-2072</v>
      </c>
      <c r="R983" s="4">
        <v>0</v>
      </c>
      <c r="S983" s="4">
        <v>0</v>
      </c>
      <c r="T983" s="23">
        <v>3.6</v>
      </c>
      <c r="U983" s="23">
        <v>3.4319999999999999</v>
      </c>
      <c r="V983" s="5" t="s">
        <v>12</v>
      </c>
      <c r="W983" s="4">
        <v>24398</v>
      </c>
      <c r="X983" s="4">
        <v>82863</v>
      </c>
      <c r="Y983" s="10">
        <v>42527</v>
      </c>
      <c r="Z983" s="10">
        <v>46461</v>
      </c>
      <c r="AA983" s="2"/>
      <c r="AB983" s="63" t="s">
        <v>3840</v>
      </c>
      <c r="AC983" s="5" t="s">
        <v>4198</v>
      </c>
      <c r="AD983" s="76" t="s">
        <v>4350</v>
      </c>
      <c r="AE983" s="6"/>
      <c r="AF983" s="23"/>
      <c r="AG983" s="6"/>
      <c r="AH983" s="5" t="s">
        <v>3</v>
      </c>
      <c r="AI983" s="5" t="s">
        <v>1086</v>
      </c>
      <c r="AJ983" s="5" t="s">
        <v>2042</v>
      </c>
      <c r="AK983" s="16" t="s">
        <v>3</v>
      </c>
      <c r="AL983" s="65" t="s">
        <v>3842</v>
      </c>
      <c r="AM983" s="31" t="s">
        <v>898</v>
      </c>
    </row>
    <row r="984" spans="2:39" x14ac:dyDescent="0.25">
      <c r="B984" s="18" t="s">
        <v>2621</v>
      </c>
      <c r="C984" s="44" t="s">
        <v>1526</v>
      </c>
      <c r="D984" s="20" t="s">
        <v>4103</v>
      </c>
      <c r="E984" s="67" t="s">
        <v>3</v>
      </c>
      <c r="F984" s="51" t="s">
        <v>3</v>
      </c>
      <c r="G984" s="37" t="s">
        <v>3</v>
      </c>
      <c r="H984" s="68" t="s">
        <v>3842</v>
      </c>
      <c r="I984" s="62" t="s">
        <v>1157</v>
      </c>
      <c r="J984" s="61" t="s">
        <v>250</v>
      </c>
      <c r="K984" s="4">
        <v>1872460</v>
      </c>
      <c r="L984" s="39">
        <v>97.373999999999995</v>
      </c>
      <c r="M984" s="4">
        <v>1823298</v>
      </c>
      <c r="N984" s="4">
        <v>1872460</v>
      </c>
      <c r="O984" s="4">
        <v>1872460</v>
      </c>
      <c r="P984" s="4">
        <v>0</v>
      </c>
      <c r="Q984" s="4">
        <v>0</v>
      </c>
      <c r="R984" s="4">
        <v>0</v>
      </c>
      <c r="S984" s="4">
        <v>0</v>
      </c>
      <c r="T984" s="23">
        <v>3.875</v>
      </c>
      <c r="U984" s="23">
        <v>3.875</v>
      </c>
      <c r="V984" s="5" t="s">
        <v>12</v>
      </c>
      <c r="W984" s="4">
        <v>21364</v>
      </c>
      <c r="X984" s="4">
        <v>72558</v>
      </c>
      <c r="Y984" s="10">
        <v>42075</v>
      </c>
      <c r="Z984" s="10">
        <v>45000</v>
      </c>
      <c r="AA984" s="2"/>
      <c r="AB984" s="63" t="s">
        <v>3840</v>
      </c>
      <c r="AC984" s="5" t="s">
        <v>9</v>
      </c>
      <c r="AD984" s="76" t="s">
        <v>4350</v>
      </c>
      <c r="AE984" s="6"/>
      <c r="AF984" s="23"/>
      <c r="AG984" s="6"/>
      <c r="AH984" s="5" t="s">
        <v>3</v>
      </c>
      <c r="AI984" s="5" t="s">
        <v>168</v>
      </c>
      <c r="AJ984" s="5" t="s">
        <v>2042</v>
      </c>
      <c r="AK984" s="16" t="s">
        <v>3</v>
      </c>
      <c r="AL984" s="65" t="s">
        <v>2715</v>
      </c>
      <c r="AM984" s="31" t="s">
        <v>926</v>
      </c>
    </row>
    <row r="985" spans="2:39" x14ac:dyDescent="0.25">
      <c r="B985" s="18" t="s">
        <v>3733</v>
      </c>
      <c r="C985" s="44" t="s">
        <v>1279</v>
      </c>
      <c r="D985" s="20" t="s">
        <v>1893</v>
      </c>
      <c r="E985" s="67" t="s">
        <v>3</v>
      </c>
      <c r="F985" s="51" t="s">
        <v>3310</v>
      </c>
      <c r="G985" s="37" t="s">
        <v>1987</v>
      </c>
      <c r="H985" s="68" t="s">
        <v>3842</v>
      </c>
      <c r="I985" s="62" t="s">
        <v>10</v>
      </c>
      <c r="J985" s="61" t="s">
        <v>250</v>
      </c>
      <c r="K985" s="4">
        <v>2999552</v>
      </c>
      <c r="L985" s="39">
        <v>103.31699999999999</v>
      </c>
      <c r="M985" s="4">
        <v>3099501</v>
      </c>
      <c r="N985" s="4">
        <v>3000000</v>
      </c>
      <c r="O985" s="4">
        <v>2999680</v>
      </c>
      <c r="P985" s="4">
        <v>0</v>
      </c>
      <c r="Q985" s="4">
        <v>128</v>
      </c>
      <c r="R985" s="4">
        <v>0</v>
      </c>
      <c r="S985" s="4">
        <v>0</v>
      </c>
      <c r="T985" s="23">
        <v>2.59</v>
      </c>
      <c r="U985" s="23">
        <v>2.609</v>
      </c>
      <c r="V985" s="5" t="s">
        <v>415</v>
      </c>
      <c r="W985" s="4">
        <v>2158</v>
      </c>
      <c r="X985" s="4">
        <v>70793</v>
      </c>
      <c r="Y985" s="10">
        <v>43846</v>
      </c>
      <c r="Z985" s="10">
        <v>45558</v>
      </c>
      <c r="AA985" s="2"/>
      <c r="AB985" s="63" t="s">
        <v>3840</v>
      </c>
      <c r="AC985" s="5" t="s">
        <v>9</v>
      </c>
      <c r="AD985" s="76" t="s">
        <v>1987</v>
      </c>
      <c r="AE985" s="6"/>
      <c r="AF985" s="23"/>
      <c r="AG985" s="10">
        <v>45006</v>
      </c>
      <c r="AH985" s="5" t="s">
        <v>3</v>
      </c>
      <c r="AI985" s="5" t="s">
        <v>3247</v>
      </c>
      <c r="AJ985" s="5" t="s">
        <v>928</v>
      </c>
      <c r="AK985" s="16" t="s">
        <v>3</v>
      </c>
      <c r="AL985" s="65" t="s">
        <v>929</v>
      </c>
      <c r="AM985" s="31" t="s">
        <v>1176</v>
      </c>
    </row>
    <row r="986" spans="2:39" x14ac:dyDescent="0.25">
      <c r="B986" s="18" t="s">
        <v>460</v>
      </c>
      <c r="C986" s="44" t="s">
        <v>3248</v>
      </c>
      <c r="D986" s="20" t="s">
        <v>2361</v>
      </c>
      <c r="E986" s="67" t="s">
        <v>3</v>
      </c>
      <c r="F986" s="51" t="s">
        <v>3310</v>
      </c>
      <c r="G986" s="37" t="s">
        <v>1987</v>
      </c>
      <c r="H986" s="68" t="s">
        <v>3842</v>
      </c>
      <c r="I986" s="62" t="s">
        <v>10</v>
      </c>
      <c r="J986" s="61" t="s">
        <v>250</v>
      </c>
      <c r="K986" s="4">
        <v>4874000</v>
      </c>
      <c r="L986" s="39">
        <v>101.512</v>
      </c>
      <c r="M986" s="4">
        <v>4947687</v>
      </c>
      <c r="N986" s="4">
        <v>4874000</v>
      </c>
      <c r="O986" s="4">
        <v>4874000</v>
      </c>
      <c r="P986" s="4">
        <v>0</v>
      </c>
      <c r="Q986" s="4">
        <v>0</v>
      </c>
      <c r="R986" s="4">
        <v>0</v>
      </c>
      <c r="S986" s="4">
        <v>0</v>
      </c>
      <c r="T986" s="23">
        <v>2.6280000000000001</v>
      </c>
      <c r="U986" s="23">
        <v>2.6389999999999998</v>
      </c>
      <c r="V986" s="5" t="s">
        <v>415</v>
      </c>
      <c r="W986" s="4">
        <v>1779</v>
      </c>
      <c r="X986" s="4">
        <v>119194</v>
      </c>
      <c r="Y986" s="10">
        <v>43843</v>
      </c>
      <c r="Z986" s="10">
        <v>45653</v>
      </c>
      <c r="AA986" s="2"/>
      <c r="AB986" s="63" t="s">
        <v>3840</v>
      </c>
      <c r="AC986" s="5" t="s">
        <v>9</v>
      </c>
      <c r="AD986" s="76" t="s">
        <v>1987</v>
      </c>
      <c r="AE986" s="6"/>
      <c r="AF986" s="23"/>
      <c r="AG986" s="10">
        <v>44556</v>
      </c>
      <c r="AH986" s="5" t="s">
        <v>3</v>
      </c>
      <c r="AI986" s="5" t="s">
        <v>2980</v>
      </c>
      <c r="AJ986" s="5" t="s">
        <v>928</v>
      </c>
      <c r="AK986" s="16" t="s">
        <v>3</v>
      </c>
      <c r="AL986" s="65" t="s">
        <v>929</v>
      </c>
      <c r="AM986" s="31" t="s">
        <v>1176</v>
      </c>
    </row>
    <row r="987" spans="2:39" x14ac:dyDescent="0.25">
      <c r="B987" s="18" t="s">
        <v>1527</v>
      </c>
      <c r="C987" s="44" t="s">
        <v>1087</v>
      </c>
      <c r="D987" s="20" t="s">
        <v>169</v>
      </c>
      <c r="E987" s="67" t="s">
        <v>3</v>
      </c>
      <c r="F987" s="51" t="s">
        <v>1157</v>
      </c>
      <c r="G987" s="37" t="s">
        <v>1256</v>
      </c>
      <c r="H987" s="68" t="s">
        <v>2715</v>
      </c>
      <c r="I987" s="62" t="s">
        <v>1157</v>
      </c>
      <c r="J987" s="61" t="s">
        <v>250</v>
      </c>
      <c r="K987" s="4">
        <v>2000000</v>
      </c>
      <c r="L987" s="39">
        <v>100.428</v>
      </c>
      <c r="M987" s="4">
        <v>2008560</v>
      </c>
      <c r="N987" s="4">
        <v>2000000</v>
      </c>
      <c r="O987" s="4">
        <v>2000000</v>
      </c>
      <c r="P987" s="4">
        <v>0</v>
      </c>
      <c r="Q987" s="4">
        <v>0</v>
      </c>
      <c r="R987" s="4">
        <v>0</v>
      </c>
      <c r="S987" s="4">
        <v>0</v>
      </c>
      <c r="T987" s="23">
        <v>2.4089999999999998</v>
      </c>
      <c r="U987" s="23">
        <v>2.1110000000000002</v>
      </c>
      <c r="V987" s="5" t="s">
        <v>3432</v>
      </c>
      <c r="W987" s="4">
        <v>23076</v>
      </c>
      <c r="X987" s="4">
        <v>0</v>
      </c>
      <c r="Y987" s="10">
        <v>43986</v>
      </c>
      <c r="Z987" s="10">
        <v>48053</v>
      </c>
      <c r="AA987" s="2"/>
      <c r="AB987" s="63" t="s">
        <v>3840</v>
      </c>
      <c r="AC987" s="5" t="s">
        <v>9</v>
      </c>
      <c r="AD987" s="76" t="s">
        <v>1088</v>
      </c>
      <c r="AE987" s="10">
        <v>44401</v>
      </c>
      <c r="AF987" s="23">
        <v>100</v>
      </c>
      <c r="AG987" s="10">
        <v>46503</v>
      </c>
      <c r="AH987" s="5" t="s">
        <v>3</v>
      </c>
      <c r="AI987" s="5" t="s">
        <v>169</v>
      </c>
      <c r="AJ987" s="5" t="s">
        <v>3</v>
      </c>
      <c r="AK987" s="16" t="s">
        <v>3</v>
      </c>
      <c r="AL987" s="65" t="s">
        <v>3842</v>
      </c>
      <c r="AM987" s="31" t="s">
        <v>1631</v>
      </c>
    </row>
    <row r="988" spans="2:39" x14ac:dyDescent="0.25">
      <c r="B988" s="18" t="s">
        <v>2622</v>
      </c>
      <c r="C988" s="44" t="s">
        <v>170</v>
      </c>
      <c r="D988" s="20" t="s">
        <v>1089</v>
      </c>
      <c r="E988" s="67" t="s">
        <v>3</v>
      </c>
      <c r="F988" s="51" t="s">
        <v>1157</v>
      </c>
      <c r="G988" s="37" t="s">
        <v>1256</v>
      </c>
      <c r="H988" s="68" t="s">
        <v>2715</v>
      </c>
      <c r="I988" s="62" t="s">
        <v>3310</v>
      </c>
      <c r="J988" s="61" t="s">
        <v>250</v>
      </c>
      <c r="K988" s="4">
        <v>8500000</v>
      </c>
      <c r="L988" s="39">
        <v>100.05</v>
      </c>
      <c r="M988" s="4">
        <v>8504250</v>
      </c>
      <c r="N988" s="4">
        <v>8500000</v>
      </c>
      <c r="O988" s="4">
        <v>8500000</v>
      </c>
      <c r="P988" s="4">
        <v>0</v>
      </c>
      <c r="Q988" s="4">
        <v>0</v>
      </c>
      <c r="R988" s="4">
        <v>0</v>
      </c>
      <c r="S988" s="4">
        <v>0</v>
      </c>
      <c r="T988" s="23">
        <v>1.488</v>
      </c>
      <c r="U988" s="23">
        <v>1.3520000000000001</v>
      </c>
      <c r="V988" s="5" t="s">
        <v>3432</v>
      </c>
      <c r="W988" s="4">
        <v>17220</v>
      </c>
      <c r="X988" s="4">
        <v>0</v>
      </c>
      <c r="Y988" s="10">
        <v>44106</v>
      </c>
      <c r="Z988" s="10">
        <v>48599</v>
      </c>
      <c r="AA988" s="2"/>
      <c r="AB988" s="63" t="s">
        <v>643</v>
      </c>
      <c r="AC988" s="5" t="s">
        <v>2623</v>
      </c>
      <c r="AD988" s="76" t="s">
        <v>1088</v>
      </c>
      <c r="AE988" s="10">
        <v>44513</v>
      </c>
      <c r="AF988" s="23">
        <v>100</v>
      </c>
      <c r="AG988" s="10">
        <v>46407</v>
      </c>
      <c r="AH988" s="5" t="s">
        <v>3</v>
      </c>
      <c r="AI988" s="5" t="s">
        <v>3734</v>
      </c>
      <c r="AJ988" s="5" t="s">
        <v>928</v>
      </c>
      <c r="AK988" s="16" t="s">
        <v>3</v>
      </c>
      <c r="AL988" s="65" t="s">
        <v>2715</v>
      </c>
      <c r="AM988" s="31" t="s">
        <v>2217</v>
      </c>
    </row>
    <row r="989" spans="2:39" x14ac:dyDescent="0.25">
      <c r="B989" s="18" t="s">
        <v>3735</v>
      </c>
      <c r="C989" s="44" t="s">
        <v>1894</v>
      </c>
      <c r="D989" s="20" t="s">
        <v>3249</v>
      </c>
      <c r="E989" s="67" t="s">
        <v>3</v>
      </c>
      <c r="F989" s="51" t="s">
        <v>1157</v>
      </c>
      <c r="G989" s="37" t="s">
        <v>3842</v>
      </c>
      <c r="H989" s="68" t="s">
        <v>2715</v>
      </c>
      <c r="I989" s="62" t="s">
        <v>3310</v>
      </c>
      <c r="J989" s="61" t="s">
        <v>250</v>
      </c>
      <c r="K989" s="4">
        <v>1250000</v>
      </c>
      <c r="L989" s="39">
        <v>100.086</v>
      </c>
      <c r="M989" s="4">
        <v>1251075</v>
      </c>
      <c r="N989" s="4">
        <v>1250000</v>
      </c>
      <c r="O989" s="4">
        <v>1250000</v>
      </c>
      <c r="P989" s="4">
        <v>0</v>
      </c>
      <c r="Q989" s="4">
        <v>0</v>
      </c>
      <c r="R989" s="4">
        <v>0</v>
      </c>
      <c r="S989" s="4">
        <v>0</v>
      </c>
      <c r="T989" s="23">
        <v>1.577</v>
      </c>
      <c r="U989" s="23">
        <v>1.58</v>
      </c>
      <c r="V989" s="5" t="s">
        <v>3432</v>
      </c>
      <c r="W989" s="4">
        <v>4271</v>
      </c>
      <c r="X989" s="4">
        <v>0</v>
      </c>
      <c r="Y989" s="10">
        <v>44166</v>
      </c>
      <c r="Z989" s="10">
        <v>48502</v>
      </c>
      <c r="AA989" s="2"/>
      <c r="AB989" s="63" t="s">
        <v>3840</v>
      </c>
      <c r="AC989" s="5" t="s">
        <v>9</v>
      </c>
      <c r="AD989" s="76" t="s">
        <v>1088</v>
      </c>
      <c r="AE989" s="10">
        <v>44484</v>
      </c>
      <c r="AF989" s="23">
        <v>100</v>
      </c>
      <c r="AG989" s="10">
        <v>46675</v>
      </c>
      <c r="AH989" s="5" t="s">
        <v>3</v>
      </c>
      <c r="AI989" s="5" t="s">
        <v>3463</v>
      </c>
      <c r="AJ989" s="5" t="s">
        <v>928</v>
      </c>
      <c r="AK989" s="16" t="s">
        <v>3</v>
      </c>
      <c r="AL989" s="65" t="s">
        <v>2715</v>
      </c>
      <c r="AM989" s="31" t="s">
        <v>2217</v>
      </c>
    </row>
    <row r="990" spans="2:39" x14ac:dyDescent="0.25">
      <c r="B990" s="18" t="s">
        <v>1528</v>
      </c>
      <c r="C990" s="44" t="s">
        <v>4380</v>
      </c>
      <c r="D990" s="20" t="s">
        <v>3249</v>
      </c>
      <c r="E990" s="67" t="s">
        <v>3</v>
      </c>
      <c r="F990" s="51" t="s">
        <v>2218</v>
      </c>
      <c r="G990" s="37" t="s">
        <v>1256</v>
      </c>
      <c r="H990" s="68" t="s">
        <v>2715</v>
      </c>
      <c r="I990" s="62" t="s">
        <v>1157</v>
      </c>
      <c r="J990" s="61" t="s">
        <v>250</v>
      </c>
      <c r="K990" s="4">
        <v>5000000</v>
      </c>
      <c r="L990" s="39">
        <v>100.179</v>
      </c>
      <c r="M990" s="4">
        <v>5008950</v>
      </c>
      <c r="N990" s="4">
        <v>5000000</v>
      </c>
      <c r="O990" s="4">
        <v>5000000</v>
      </c>
      <c r="P990" s="4">
        <v>0</v>
      </c>
      <c r="Q990" s="4">
        <v>0</v>
      </c>
      <c r="R990" s="4">
        <v>0</v>
      </c>
      <c r="S990" s="4">
        <v>0</v>
      </c>
      <c r="T990" s="23">
        <v>2.1869999999999998</v>
      </c>
      <c r="U990" s="23">
        <v>2.1920000000000002</v>
      </c>
      <c r="V990" s="5" t="s">
        <v>3432</v>
      </c>
      <c r="W990" s="4">
        <v>23691</v>
      </c>
      <c r="X990" s="4">
        <v>148533</v>
      </c>
      <c r="Y990" s="10">
        <v>43748</v>
      </c>
      <c r="Z990" s="10">
        <v>48502</v>
      </c>
      <c r="AA990" s="2"/>
      <c r="AB990" s="63" t="s">
        <v>3840</v>
      </c>
      <c r="AC990" s="5" t="s">
        <v>9</v>
      </c>
      <c r="AD990" s="76" t="s">
        <v>1088</v>
      </c>
      <c r="AE990" s="10">
        <v>44484</v>
      </c>
      <c r="AF990" s="23">
        <v>100</v>
      </c>
      <c r="AG990" s="10">
        <v>46860</v>
      </c>
      <c r="AH990" s="5" t="s">
        <v>3</v>
      </c>
      <c r="AI990" s="5" t="s">
        <v>3463</v>
      </c>
      <c r="AJ990" s="5" t="s">
        <v>928</v>
      </c>
      <c r="AK990" s="16" t="s">
        <v>3</v>
      </c>
      <c r="AL990" s="65" t="s">
        <v>3842</v>
      </c>
      <c r="AM990" s="31" t="s">
        <v>1631</v>
      </c>
    </row>
    <row r="991" spans="2:39" x14ac:dyDescent="0.25">
      <c r="B991" s="18" t="s">
        <v>2624</v>
      </c>
      <c r="C991" s="44" t="s">
        <v>3736</v>
      </c>
      <c r="D991" s="20" t="s">
        <v>3249</v>
      </c>
      <c r="E991" s="67" t="s">
        <v>3</v>
      </c>
      <c r="F991" s="51" t="s">
        <v>1157</v>
      </c>
      <c r="G991" s="37" t="s">
        <v>3842</v>
      </c>
      <c r="H991" s="68" t="s">
        <v>2715</v>
      </c>
      <c r="I991" s="62" t="s">
        <v>3310</v>
      </c>
      <c r="J991" s="61" t="s">
        <v>250</v>
      </c>
      <c r="K991" s="4">
        <v>3000000</v>
      </c>
      <c r="L991" s="39">
        <v>100</v>
      </c>
      <c r="M991" s="4">
        <v>3000000</v>
      </c>
      <c r="N991" s="4">
        <v>3000000</v>
      </c>
      <c r="O991" s="4">
        <v>3000000</v>
      </c>
      <c r="P991" s="4">
        <v>0</v>
      </c>
      <c r="Q991" s="4">
        <v>0</v>
      </c>
      <c r="R991" s="4">
        <v>0</v>
      </c>
      <c r="S991" s="4">
        <v>0</v>
      </c>
      <c r="T991" s="23">
        <v>1.6679999999999999</v>
      </c>
      <c r="U991" s="23">
        <v>1.6719999999999999</v>
      </c>
      <c r="V991" s="5" t="s">
        <v>3432</v>
      </c>
      <c r="W991" s="4">
        <v>1251</v>
      </c>
      <c r="X991" s="4">
        <v>0</v>
      </c>
      <c r="Y991" s="10">
        <v>44169</v>
      </c>
      <c r="Z991" s="10">
        <v>48233</v>
      </c>
      <c r="AA991" s="2"/>
      <c r="AB991" s="63" t="s">
        <v>3840</v>
      </c>
      <c r="AC991" s="5" t="s">
        <v>9</v>
      </c>
      <c r="AD991" s="76" t="s">
        <v>1088</v>
      </c>
      <c r="AE991" s="10">
        <v>44552</v>
      </c>
      <c r="AF991" s="23">
        <v>100</v>
      </c>
      <c r="AG991" s="10">
        <v>46497</v>
      </c>
      <c r="AH991" s="5" t="s">
        <v>3</v>
      </c>
      <c r="AI991" s="5" t="s">
        <v>3463</v>
      </c>
      <c r="AJ991" s="5" t="s">
        <v>928</v>
      </c>
      <c r="AK991" s="16" t="s">
        <v>3</v>
      </c>
      <c r="AL991" s="65" t="s">
        <v>2715</v>
      </c>
      <c r="AM991" s="31" t="s">
        <v>2217</v>
      </c>
    </row>
    <row r="992" spans="2:39" x14ac:dyDescent="0.25">
      <c r="B992" s="18" t="s">
        <v>3737</v>
      </c>
      <c r="C992" s="44" t="s">
        <v>4381</v>
      </c>
      <c r="D992" s="20" t="s">
        <v>2625</v>
      </c>
      <c r="E992" s="67" t="s">
        <v>3</v>
      </c>
      <c r="F992" s="51" t="s">
        <v>2218</v>
      </c>
      <c r="G992" s="37" t="s">
        <v>1256</v>
      </c>
      <c r="H992" s="68" t="s">
        <v>2715</v>
      </c>
      <c r="I992" s="62" t="s">
        <v>1157</v>
      </c>
      <c r="J992" s="61" t="s">
        <v>250</v>
      </c>
      <c r="K992" s="4">
        <v>2483708</v>
      </c>
      <c r="L992" s="39">
        <v>96.56</v>
      </c>
      <c r="M992" s="4">
        <v>2464303</v>
      </c>
      <c r="N992" s="4">
        <v>2552083</v>
      </c>
      <c r="O992" s="4">
        <v>2504196</v>
      </c>
      <c r="P992" s="4">
        <v>0</v>
      </c>
      <c r="Q992" s="4">
        <v>11684</v>
      </c>
      <c r="R992" s="4">
        <v>0</v>
      </c>
      <c r="S992" s="4">
        <v>0</v>
      </c>
      <c r="T992" s="23">
        <v>2.4870000000000001</v>
      </c>
      <c r="U992" s="23">
        <v>3.468</v>
      </c>
      <c r="V992" s="5" t="s">
        <v>415</v>
      </c>
      <c r="W992" s="4">
        <v>2821</v>
      </c>
      <c r="X992" s="4">
        <v>63470</v>
      </c>
      <c r="Y992" s="10">
        <v>43553</v>
      </c>
      <c r="Z992" s="10">
        <v>51850</v>
      </c>
      <c r="AA992" s="2"/>
      <c r="AB992" s="63" t="s">
        <v>3840</v>
      </c>
      <c r="AC992" s="5" t="s">
        <v>9</v>
      </c>
      <c r="AD992" s="76" t="s">
        <v>4350</v>
      </c>
      <c r="AE992" s="10">
        <v>45641</v>
      </c>
      <c r="AF992" s="23">
        <v>100</v>
      </c>
      <c r="AG992" s="10">
        <v>45641</v>
      </c>
      <c r="AH992" s="5" t="s">
        <v>3</v>
      </c>
      <c r="AI992" s="5" t="s">
        <v>4104</v>
      </c>
      <c r="AJ992" s="5" t="s">
        <v>928</v>
      </c>
      <c r="AK992" s="16" t="s">
        <v>3</v>
      </c>
      <c r="AL992" s="65" t="s">
        <v>2715</v>
      </c>
      <c r="AM992" s="31" t="s">
        <v>1631</v>
      </c>
    </row>
    <row r="993" spans="2:39" x14ac:dyDescent="0.25">
      <c r="B993" s="18" t="s">
        <v>461</v>
      </c>
      <c r="C993" s="44" t="s">
        <v>1090</v>
      </c>
      <c r="D993" s="20" t="s">
        <v>3738</v>
      </c>
      <c r="E993" s="67" t="s">
        <v>3</v>
      </c>
      <c r="F993" s="51" t="s">
        <v>1157</v>
      </c>
      <c r="G993" s="37" t="s">
        <v>1987</v>
      </c>
      <c r="H993" s="68" t="s">
        <v>2715</v>
      </c>
      <c r="I993" s="62" t="s">
        <v>3310</v>
      </c>
      <c r="J993" s="61" t="s">
        <v>250</v>
      </c>
      <c r="K993" s="4">
        <v>3900000</v>
      </c>
      <c r="L993" s="39">
        <v>99.338999999999999</v>
      </c>
      <c r="M993" s="4">
        <v>3973560</v>
      </c>
      <c r="N993" s="4">
        <v>4000000</v>
      </c>
      <c r="O993" s="4">
        <v>3912135</v>
      </c>
      <c r="P993" s="4">
        <v>0</v>
      </c>
      <c r="Q993" s="4">
        <v>12135</v>
      </c>
      <c r="R993" s="4">
        <v>0</v>
      </c>
      <c r="S993" s="4">
        <v>0</v>
      </c>
      <c r="T993" s="23">
        <v>1.25</v>
      </c>
      <c r="U993" s="23">
        <v>1.81</v>
      </c>
      <c r="V993" s="5" t="s">
        <v>3432</v>
      </c>
      <c r="W993" s="4">
        <v>10557</v>
      </c>
      <c r="X993" s="4">
        <v>35292</v>
      </c>
      <c r="Y993" s="10">
        <v>43980</v>
      </c>
      <c r="Z993" s="10">
        <v>47955</v>
      </c>
      <c r="AA993" s="2"/>
      <c r="AB993" s="63" t="s">
        <v>3840</v>
      </c>
      <c r="AC993" s="5" t="s">
        <v>9</v>
      </c>
      <c r="AD993" s="76" t="s">
        <v>1088</v>
      </c>
      <c r="AE993" s="6"/>
      <c r="AF993" s="23"/>
      <c r="AG993" s="10">
        <v>46220</v>
      </c>
      <c r="AH993" s="5" t="s">
        <v>3</v>
      </c>
      <c r="AI993" s="5" t="s">
        <v>3250</v>
      </c>
      <c r="AJ993" s="5" t="s">
        <v>928</v>
      </c>
      <c r="AK993" s="16" t="s">
        <v>3</v>
      </c>
      <c r="AL993" s="65" t="s">
        <v>3842</v>
      </c>
      <c r="AM993" s="31" t="s">
        <v>2217</v>
      </c>
    </row>
    <row r="994" spans="2:39" x14ac:dyDescent="0.25">
      <c r="B994" s="18" t="s">
        <v>1529</v>
      </c>
      <c r="C994" s="44" t="s">
        <v>171</v>
      </c>
      <c r="D994" s="20" t="s">
        <v>2981</v>
      </c>
      <c r="E994" s="67" t="s">
        <v>3</v>
      </c>
      <c r="F994" s="51" t="s">
        <v>2218</v>
      </c>
      <c r="G994" s="37" t="s">
        <v>1256</v>
      </c>
      <c r="H994" s="68" t="s">
        <v>2715</v>
      </c>
      <c r="I994" s="62" t="s">
        <v>1157</v>
      </c>
      <c r="J994" s="61" t="s">
        <v>250</v>
      </c>
      <c r="K994" s="4">
        <v>5250000</v>
      </c>
      <c r="L994" s="39">
        <v>100.35299999999999</v>
      </c>
      <c r="M994" s="4">
        <v>5268533</v>
      </c>
      <c r="N994" s="4">
        <v>5250000</v>
      </c>
      <c r="O994" s="4">
        <v>5250000</v>
      </c>
      <c r="P994" s="4">
        <v>0</v>
      </c>
      <c r="Q994" s="4">
        <v>0</v>
      </c>
      <c r="R994" s="4">
        <v>0</v>
      </c>
      <c r="S994" s="4">
        <v>0</v>
      </c>
      <c r="T994" s="23">
        <v>2.3370000000000002</v>
      </c>
      <c r="U994" s="23">
        <v>2.3439999999999999</v>
      </c>
      <c r="V994" s="5" t="s">
        <v>3432</v>
      </c>
      <c r="W994" s="4">
        <v>26582</v>
      </c>
      <c r="X994" s="4">
        <v>150513</v>
      </c>
      <c r="Y994" s="10">
        <v>43796</v>
      </c>
      <c r="Z994" s="10">
        <v>47863</v>
      </c>
      <c r="AA994" s="2"/>
      <c r="AB994" s="63" t="s">
        <v>3840</v>
      </c>
      <c r="AC994" s="5" t="s">
        <v>9</v>
      </c>
      <c r="AD994" s="76" t="s">
        <v>1088</v>
      </c>
      <c r="AE994" s="10">
        <v>44211</v>
      </c>
      <c r="AF994" s="23">
        <v>100</v>
      </c>
      <c r="AG994" s="10">
        <v>46127</v>
      </c>
      <c r="AH994" s="5" t="s">
        <v>3</v>
      </c>
      <c r="AI994" s="5" t="s">
        <v>2362</v>
      </c>
      <c r="AJ994" s="5" t="s">
        <v>928</v>
      </c>
      <c r="AK994" s="16" t="s">
        <v>3</v>
      </c>
      <c r="AL994" s="65" t="s">
        <v>3842</v>
      </c>
      <c r="AM994" s="31" t="s">
        <v>1631</v>
      </c>
    </row>
    <row r="995" spans="2:39" x14ac:dyDescent="0.25">
      <c r="B995" s="18" t="s">
        <v>2626</v>
      </c>
      <c r="C995" s="44" t="s">
        <v>462</v>
      </c>
      <c r="D995" s="20" t="s">
        <v>2627</v>
      </c>
      <c r="E995" s="67" t="s">
        <v>3</v>
      </c>
      <c r="F995" s="51" t="s">
        <v>2218</v>
      </c>
      <c r="G995" s="37" t="s">
        <v>1256</v>
      </c>
      <c r="H995" s="68" t="s">
        <v>2715</v>
      </c>
      <c r="I995" s="62" t="s">
        <v>1157</v>
      </c>
      <c r="J995" s="61" t="s">
        <v>250</v>
      </c>
      <c r="K995" s="4">
        <v>5000000</v>
      </c>
      <c r="L995" s="39">
        <v>100.492</v>
      </c>
      <c r="M995" s="4">
        <v>5024600</v>
      </c>
      <c r="N995" s="4">
        <v>5000000</v>
      </c>
      <c r="O995" s="4">
        <v>5000000</v>
      </c>
      <c r="P995" s="4">
        <v>0</v>
      </c>
      <c r="Q995" s="4">
        <v>0</v>
      </c>
      <c r="R995" s="4">
        <v>0</v>
      </c>
      <c r="S995" s="4">
        <v>0</v>
      </c>
      <c r="T995" s="23">
        <v>2.1179999999999999</v>
      </c>
      <c r="U995" s="23">
        <v>2.1240000000000001</v>
      </c>
      <c r="V995" s="5" t="s">
        <v>3432</v>
      </c>
      <c r="W995" s="4">
        <v>21478</v>
      </c>
      <c r="X995" s="4">
        <v>144865</v>
      </c>
      <c r="Y995" s="10">
        <v>43748</v>
      </c>
      <c r="Z995" s="10">
        <v>48507</v>
      </c>
      <c r="AA995" s="2"/>
      <c r="AB995" s="63" t="s">
        <v>3840</v>
      </c>
      <c r="AC995" s="5" t="s">
        <v>9</v>
      </c>
      <c r="AD995" s="76" t="s">
        <v>1088</v>
      </c>
      <c r="AE995" s="10">
        <v>44489</v>
      </c>
      <c r="AF995" s="23">
        <v>100</v>
      </c>
      <c r="AG995" s="10">
        <v>46223</v>
      </c>
      <c r="AH995" s="5" t="s">
        <v>3</v>
      </c>
      <c r="AI995" s="5" t="s">
        <v>2363</v>
      </c>
      <c r="AJ995" s="5" t="s">
        <v>928</v>
      </c>
      <c r="AK995" s="16" t="s">
        <v>3</v>
      </c>
      <c r="AL995" s="65" t="s">
        <v>3842</v>
      </c>
      <c r="AM995" s="31" t="s">
        <v>1631</v>
      </c>
    </row>
    <row r="996" spans="2:39" x14ac:dyDescent="0.25">
      <c r="B996" s="18" t="s">
        <v>3739</v>
      </c>
      <c r="C996" s="44" t="s">
        <v>1530</v>
      </c>
      <c r="D996" s="20" t="s">
        <v>3251</v>
      </c>
      <c r="E996" s="67" t="s">
        <v>3</v>
      </c>
      <c r="F996" s="51" t="s">
        <v>1157</v>
      </c>
      <c r="G996" s="37" t="s">
        <v>1987</v>
      </c>
      <c r="H996" s="68" t="s">
        <v>2715</v>
      </c>
      <c r="I996" s="62" t="s">
        <v>3310</v>
      </c>
      <c r="J996" s="61" t="s">
        <v>250</v>
      </c>
      <c r="K996" s="4">
        <v>1000000</v>
      </c>
      <c r="L996" s="39">
        <v>100.014</v>
      </c>
      <c r="M996" s="4">
        <v>1000140</v>
      </c>
      <c r="N996" s="4">
        <v>1000000</v>
      </c>
      <c r="O996" s="4">
        <v>1000000</v>
      </c>
      <c r="P996" s="4">
        <v>0</v>
      </c>
      <c r="Q996" s="4">
        <v>0</v>
      </c>
      <c r="R996" s="4">
        <v>0</v>
      </c>
      <c r="S996" s="4">
        <v>0</v>
      </c>
      <c r="T996" s="23">
        <v>1.3260000000000001</v>
      </c>
      <c r="U996" s="23">
        <v>1.3260000000000001</v>
      </c>
      <c r="V996" s="5" t="s">
        <v>3432</v>
      </c>
      <c r="W996" s="4">
        <v>2615</v>
      </c>
      <c r="X996" s="4">
        <v>24265</v>
      </c>
      <c r="Y996" s="10">
        <v>43081</v>
      </c>
      <c r="Z996" s="10">
        <v>47870</v>
      </c>
      <c r="AA996" s="2"/>
      <c r="AB996" s="63" t="s">
        <v>3840</v>
      </c>
      <c r="AC996" s="5" t="s">
        <v>9</v>
      </c>
      <c r="AD996" s="76" t="s">
        <v>1088</v>
      </c>
      <c r="AE996" s="6"/>
      <c r="AF996" s="23"/>
      <c r="AG996" s="10">
        <v>46313</v>
      </c>
      <c r="AH996" s="5" t="s">
        <v>3</v>
      </c>
      <c r="AI996" s="5" t="s">
        <v>2162</v>
      </c>
      <c r="AJ996" s="5" t="s">
        <v>928</v>
      </c>
      <c r="AK996" s="16" t="s">
        <v>3</v>
      </c>
      <c r="AL996" s="65" t="s">
        <v>3842</v>
      </c>
      <c r="AM996" s="31" t="s">
        <v>2217</v>
      </c>
    </row>
    <row r="997" spans="2:39" x14ac:dyDescent="0.25">
      <c r="B997" s="18" t="s">
        <v>463</v>
      </c>
      <c r="C997" s="44" t="s">
        <v>4382</v>
      </c>
      <c r="D997" s="20" t="s">
        <v>1280</v>
      </c>
      <c r="E997" s="67" t="s">
        <v>3</v>
      </c>
      <c r="F997" s="51" t="s">
        <v>1157</v>
      </c>
      <c r="G997" s="37" t="s">
        <v>1256</v>
      </c>
      <c r="H997" s="68" t="s">
        <v>2715</v>
      </c>
      <c r="I997" s="62" t="s">
        <v>252</v>
      </c>
      <c r="J997" s="61" t="s">
        <v>250</v>
      </c>
      <c r="K997" s="4">
        <v>14677934</v>
      </c>
      <c r="L997" s="39">
        <v>101.271</v>
      </c>
      <c r="M997" s="4">
        <v>14867913</v>
      </c>
      <c r="N997" s="4">
        <v>14681250</v>
      </c>
      <c r="O997" s="4">
        <v>14678106</v>
      </c>
      <c r="P997" s="4">
        <v>0</v>
      </c>
      <c r="Q997" s="4">
        <v>171</v>
      </c>
      <c r="R997" s="4">
        <v>0</v>
      </c>
      <c r="S997" s="4">
        <v>0</v>
      </c>
      <c r="T997" s="23">
        <v>2.2200000000000002</v>
      </c>
      <c r="U997" s="23">
        <v>2.2360000000000002</v>
      </c>
      <c r="V997" s="5" t="s">
        <v>415</v>
      </c>
      <c r="W997" s="4">
        <v>5432</v>
      </c>
      <c r="X997" s="4">
        <v>95966</v>
      </c>
      <c r="Y997" s="10">
        <v>44075</v>
      </c>
      <c r="Z997" s="10">
        <v>53230</v>
      </c>
      <c r="AA997" s="2"/>
      <c r="AB997" s="63" t="s">
        <v>3840</v>
      </c>
      <c r="AC997" s="5" t="s">
        <v>9</v>
      </c>
      <c r="AD997" s="76" t="s">
        <v>143</v>
      </c>
      <c r="AE997" s="10">
        <v>44829</v>
      </c>
      <c r="AF997" s="23">
        <v>100</v>
      </c>
      <c r="AG997" s="10">
        <v>46837</v>
      </c>
      <c r="AH997" s="5" t="s">
        <v>3</v>
      </c>
      <c r="AI997" s="5" t="s">
        <v>801</v>
      </c>
      <c r="AJ997" s="5" t="s">
        <v>928</v>
      </c>
      <c r="AK997" s="16" t="s">
        <v>3</v>
      </c>
      <c r="AL997" s="65" t="s">
        <v>3842</v>
      </c>
      <c r="AM997" s="31" t="s">
        <v>898</v>
      </c>
    </row>
    <row r="998" spans="2:39" x14ac:dyDescent="0.25">
      <c r="B998" s="18" t="s">
        <v>1895</v>
      </c>
      <c r="C998" s="44" t="s">
        <v>4383</v>
      </c>
      <c r="D998" s="20" t="s">
        <v>2628</v>
      </c>
      <c r="E998" s="67" t="s">
        <v>3</v>
      </c>
      <c r="F998" s="51" t="s">
        <v>2218</v>
      </c>
      <c r="G998" s="37" t="s">
        <v>1256</v>
      </c>
      <c r="H998" s="68" t="s">
        <v>2715</v>
      </c>
      <c r="I998" s="62" t="s">
        <v>1157</v>
      </c>
      <c r="J998" s="61" t="s">
        <v>250</v>
      </c>
      <c r="K998" s="4">
        <v>5000000</v>
      </c>
      <c r="L998" s="39">
        <v>100.5</v>
      </c>
      <c r="M998" s="4">
        <v>5025000</v>
      </c>
      <c r="N998" s="4">
        <v>5000000</v>
      </c>
      <c r="O998" s="4">
        <v>5000000</v>
      </c>
      <c r="P998" s="4">
        <v>0</v>
      </c>
      <c r="Q998" s="4">
        <v>0</v>
      </c>
      <c r="R998" s="4">
        <v>0</v>
      </c>
      <c r="S998" s="4">
        <v>0</v>
      </c>
      <c r="T998" s="23">
        <v>3.2509999999999999</v>
      </c>
      <c r="U998" s="23">
        <v>3.2629999999999999</v>
      </c>
      <c r="V998" s="5" t="s">
        <v>3432</v>
      </c>
      <c r="W998" s="4">
        <v>32058</v>
      </c>
      <c r="X998" s="4">
        <v>172935</v>
      </c>
      <c r="Y998" s="10">
        <v>43718</v>
      </c>
      <c r="Z998" s="10">
        <v>48507</v>
      </c>
      <c r="AA998" s="2"/>
      <c r="AB998" s="63" t="s">
        <v>3840</v>
      </c>
      <c r="AC998" s="5" t="s">
        <v>9</v>
      </c>
      <c r="AD998" s="76" t="s">
        <v>1088</v>
      </c>
      <c r="AE998" s="10">
        <v>44489</v>
      </c>
      <c r="AF998" s="23">
        <v>100</v>
      </c>
      <c r="AG998" s="10">
        <v>46772</v>
      </c>
      <c r="AH998" s="5" t="s">
        <v>3</v>
      </c>
      <c r="AI998" s="5" t="s">
        <v>4105</v>
      </c>
      <c r="AJ998" s="5" t="s">
        <v>928</v>
      </c>
      <c r="AK998" s="16" t="s">
        <v>3</v>
      </c>
      <c r="AL998" s="65" t="s">
        <v>3842</v>
      </c>
      <c r="AM998" s="31" t="s">
        <v>1631</v>
      </c>
    </row>
    <row r="999" spans="2:39" x14ac:dyDescent="0.25">
      <c r="B999" s="18" t="s">
        <v>2982</v>
      </c>
      <c r="C999" s="44" t="s">
        <v>172</v>
      </c>
      <c r="D999" s="20" t="s">
        <v>2628</v>
      </c>
      <c r="E999" s="67" t="s">
        <v>3</v>
      </c>
      <c r="F999" s="51" t="s">
        <v>1157</v>
      </c>
      <c r="G999" s="37" t="s">
        <v>1987</v>
      </c>
      <c r="H999" s="68" t="s">
        <v>2715</v>
      </c>
      <c r="I999" s="62" t="s">
        <v>3310</v>
      </c>
      <c r="J999" s="61" t="s">
        <v>250</v>
      </c>
      <c r="K999" s="4">
        <v>3750000</v>
      </c>
      <c r="L999" s="39">
        <v>97.385999999999996</v>
      </c>
      <c r="M999" s="4">
        <v>3651975</v>
      </c>
      <c r="N999" s="4">
        <v>3750000</v>
      </c>
      <c r="O999" s="4">
        <v>3750000</v>
      </c>
      <c r="P999" s="4">
        <v>0</v>
      </c>
      <c r="Q999" s="4">
        <v>0</v>
      </c>
      <c r="R999" s="4">
        <v>0</v>
      </c>
      <c r="S999" s="4">
        <v>0</v>
      </c>
      <c r="T999" s="23">
        <v>1.468</v>
      </c>
      <c r="U999" s="23">
        <v>1.4710000000000001</v>
      </c>
      <c r="V999" s="5" t="s">
        <v>3432</v>
      </c>
      <c r="W999" s="4">
        <v>11166</v>
      </c>
      <c r="X999" s="4">
        <v>96786</v>
      </c>
      <c r="Y999" s="10">
        <v>43084</v>
      </c>
      <c r="Z999" s="10">
        <v>47503</v>
      </c>
      <c r="AA999" s="2"/>
      <c r="AB999" s="63" t="s">
        <v>3840</v>
      </c>
      <c r="AC999" s="5" t="s">
        <v>9</v>
      </c>
      <c r="AD999" s="76" t="s">
        <v>1088</v>
      </c>
      <c r="AE999" s="6"/>
      <c r="AF999" s="23"/>
      <c r="AG999" s="10">
        <v>46042</v>
      </c>
      <c r="AH999" s="5" t="s">
        <v>3</v>
      </c>
      <c r="AI999" s="5" t="s">
        <v>4105</v>
      </c>
      <c r="AJ999" s="5" t="s">
        <v>928</v>
      </c>
      <c r="AK999" s="16" t="s">
        <v>3</v>
      </c>
      <c r="AL999" s="65" t="s">
        <v>3842</v>
      </c>
      <c r="AM999" s="31" t="s">
        <v>2217</v>
      </c>
    </row>
    <row r="1000" spans="2:39" x14ac:dyDescent="0.25">
      <c r="B1000" s="18" t="s">
        <v>464</v>
      </c>
      <c r="C1000" s="44" t="s">
        <v>2364</v>
      </c>
      <c r="D1000" s="20" t="s">
        <v>2628</v>
      </c>
      <c r="E1000" s="67" t="s">
        <v>3</v>
      </c>
      <c r="F1000" s="51" t="s">
        <v>2218</v>
      </c>
      <c r="G1000" s="37" t="s">
        <v>1987</v>
      </c>
      <c r="H1000" s="68" t="s">
        <v>2715</v>
      </c>
      <c r="I1000" s="62" t="s">
        <v>1157</v>
      </c>
      <c r="J1000" s="61" t="s">
        <v>250</v>
      </c>
      <c r="K1000" s="4">
        <v>5000000</v>
      </c>
      <c r="L1000" s="39">
        <v>99.149000000000001</v>
      </c>
      <c r="M1000" s="4">
        <v>4957450</v>
      </c>
      <c r="N1000" s="4">
        <v>5000000</v>
      </c>
      <c r="O1000" s="4">
        <v>5000000</v>
      </c>
      <c r="P1000" s="4">
        <v>0</v>
      </c>
      <c r="Q1000" s="4">
        <v>0</v>
      </c>
      <c r="R1000" s="4">
        <v>0</v>
      </c>
      <c r="S1000" s="4">
        <v>0</v>
      </c>
      <c r="T1000" s="23">
        <v>1.837</v>
      </c>
      <c r="U1000" s="23">
        <v>1.841</v>
      </c>
      <c r="V1000" s="5" t="s">
        <v>3432</v>
      </c>
      <c r="W1000" s="4">
        <v>19900</v>
      </c>
      <c r="X1000" s="4">
        <v>148964</v>
      </c>
      <c r="Y1000" s="10">
        <v>43266</v>
      </c>
      <c r="Z1000" s="10">
        <v>47679</v>
      </c>
      <c r="AA1000" s="2"/>
      <c r="AB1000" s="63" t="s">
        <v>3840</v>
      </c>
      <c r="AC1000" s="5" t="s">
        <v>9</v>
      </c>
      <c r="AD1000" s="76" t="s">
        <v>1088</v>
      </c>
      <c r="AE1000" s="6"/>
      <c r="AF1000" s="23"/>
      <c r="AG1000" s="10">
        <v>46402</v>
      </c>
      <c r="AH1000" s="5" t="s">
        <v>3</v>
      </c>
      <c r="AI1000" s="5" t="s">
        <v>4105</v>
      </c>
      <c r="AJ1000" s="5" t="s">
        <v>928</v>
      </c>
      <c r="AK1000" s="16" t="s">
        <v>3</v>
      </c>
      <c r="AL1000" s="65" t="s">
        <v>3842</v>
      </c>
      <c r="AM1000" s="31" t="s">
        <v>1631</v>
      </c>
    </row>
    <row r="1001" spans="2:39" x14ac:dyDescent="0.25">
      <c r="B1001" s="18" t="s">
        <v>1531</v>
      </c>
      <c r="C1001" s="44" t="s">
        <v>2629</v>
      </c>
      <c r="D1001" s="20" t="s">
        <v>465</v>
      </c>
      <c r="E1001" s="67" t="s">
        <v>3</v>
      </c>
      <c r="F1001" s="51" t="s">
        <v>1157</v>
      </c>
      <c r="G1001" s="37" t="s">
        <v>3842</v>
      </c>
      <c r="H1001" s="68" t="s">
        <v>2715</v>
      </c>
      <c r="I1001" s="62" t="s">
        <v>1157</v>
      </c>
      <c r="J1001" s="61" t="s">
        <v>250</v>
      </c>
      <c r="K1001" s="4">
        <v>2500000</v>
      </c>
      <c r="L1001" s="39">
        <v>100.47799999999999</v>
      </c>
      <c r="M1001" s="4">
        <v>2511950</v>
      </c>
      <c r="N1001" s="4">
        <v>2500000</v>
      </c>
      <c r="O1001" s="4">
        <v>2500000</v>
      </c>
      <c r="P1001" s="4">
        <v>0</v>
      </c>
      <c r="Q1001" s="4">
        <v>0</v>
      </c>
      <c r="R1001" s="4">
        <v>0</v>
      </c>
      <c r="S1001" s="4">
        <v>0</v>
      </c>
      <c r="T1001" s="23">
        <v>2.1589999999999998</v>
      </c>
      <c r="U1001" s="23">
        <v>2.1640000000000001</v>
      </c>
      <c r="V1001" s="5" t="s">
        <v>3432</v>
      </c>
      <c r="W1001" s="4">
        <v>10793</v>
      </c>
      <c r="X1001" s="4">
        <v>0</v>
      </c>
      <c r="Y1001" s="10">
        <v>44166</v>
      </c>
      <c r="Z1001" s="10">
        <v>48142</v>
      </c>
      <c r="AA1001" s="2"/>
      <c r="AB1001" s="63" t="s">
        <v>3840</v>
      </c>
      <c r="AC1001" s="5" t="s">
        <v>9</v>
      </c>
      <c r="AD1001" s="76" t="s">
        <v>1088</v>
      </c>
      <c r="AE1001" s="10">
        <v>44466</v>
      </c>
      <c r="AF1001" s="23">
        <v>100</v>
      </c>
      <c r="AG1001" s="10">
        <v>47140</v>
      </c>
      <c r="AH1001" s="5" t="s">
        <v>3</v>
      </c>
      <c r="AI1001" s="5" t="s">
        <v>1896</v>
      </c>
      <c r="AJ1001" s="5" t="s">
        <v>928</v>
      </c>
      <c r="AK1001" s="16" t="s">
        <v>3</v>
      </c>
      <c r="AL1001" s="65" t="s">
        <v>2715</v>
      </c>
      <c r="AM1001" s="31" t="s">
        <v>1631</v>
      </c>
    </row>
    <row r="1002" spans="2:39" x14ac:dyDescent="0.25">
      <c r="B1002" s="18" t="s">
        <v>2630</v>
      </c>
      <c r="C1002" s="44" t="s">
        <v>3252</v>
      </c>
      <c r="D1002" s="20" t="s">
        <v>1532</v>
      </c>
      <c r="E1002" s="67" t="s">
        <v>3</v>
      </c>
      <c r="F1002" s="51" t="s">
        <v>1157</v>
      </c>
      <c r="G1002" s="37" t="s">
        <v>1256</v>
      </c>
      <c r="H1002" s="68" t="s">
        <v>2715</v>
      </c>
      <c r="I1002" s="62" t="s">
        <v>1157</v>
      </c>
      <c r="J1002" s="61" t="s">
        <v>250</v>
      </c>
      <c r="K1002" s="4">
        <v>3000000</v>
      </c>
      <c r="L1002" s="39">
        <v>100.425</v>
      </c>
      <c r="M1002" s="4">
        <v>3012750</v>
      </c>
      <c r="N1002" s="4">
        <v>3000000</v>
      </c>
      <c r="O1002" s="4">
        <v>3000000</v>
      </c>
      <c r="P1002" s="4">
        <v>0</v>
      </c>
      <c r="Q1002" s="4">
        <v>0</v>
      </c>
      <c r="R1002" s="4">
        <v>0</v>
      </c>
      <c r="S1002" s="4">
        <v>0</v>
      </c>
      <c r="T1002" s="23">
        <v>2.8740000000000001</v>
      </c>
      <c r="U1002" s="23">
        <v>2.883</v>
      </c>
      <c r="V1002" s="5" t="s">
        <v>4359</v>
      </c>
      <c r="W1002" s="4">
        <v>9819</v>
      </c>
      <c r="X1002" s="4">
        <v>45129</v>
      </c>
      <c r="Y1002" s="10">
        <v>43945</v>
      </c>
      <c r="Z1002" s="10">
        <v>47988</v>
      </c>
      <c r="AA1002" s="2"/>
      <c r="AB1002" s="63" t="s">
        <v>3840</v>
      </c>
      <c r="AC1002" s="5" t="s">
        <v>9</v>
      </c>
      <c r="AD1002" s="76" t="s">
        <v>1088</v>
      </c>
      <c r="AE1002" s="10">
        <v>44336</v>
      </c>
      <c r="AF1002" s="23">
        <v>100</v>
      </c>
      <c r="AG1002" s="10">
        <v>46527</v>
      </c>
      <c r="AH1002" s="5" t="s">
        <v>3</v>
      </c>
      <c r="AI1002" s="5" t="s">
        <v>2983</v>
      </c>
      <c r="AJ1002" s="5" t="s">
        <v>2983</v>
      </c>
      <c r="AK1002" s="16" t="s">
        <v>3</v>
      </c>
      <c r="AL1002" s="65" t="s">
        <v>3842</v>
      </c>
      <c r="AM1002" s="31" t="s">
        <v>1631</v>
      </c>
    </row>
    <row r="1003" spans="2:39" x14ac:dyDescent="0.25">
      <c r="B1003" s="18" t="s">
        <v>3740</v>
      </c>
      <c r="C1003" s="44" t="s">
        <v>2984</v>
      </c>
      <c r="D1003" s="20" t="s">
        <v>3741</v>
      </c>
      <c r="E1003" s="67" t="s">
        <v>3</v>
      </c>
      <c r="F1003" s="51" t="s">
        <v>2218</v>
      </c>
      <c r="G1003" s="37" t="s">
        <v>1987</v>
      </c>
      <c r="H1003" s="68" t="s">
        <v>2715</v>
      </c>
      <c r="I1003" s="62" t="s">
        <v>1157</v>
      </c>
      <c r="J1003" s="61" t="s">
        <v>250</v>
      </c>
      <c r="K1003" s="4">
        <v>5000000</v>
      </c>
      <c r="L1003" s="39">
        <v>100.485</v>
      </c>
      <c r="M1003" s="4">
        <v>5024250</v>
      </c>
      <c r="N1003" s="4">
        <v>5000000</v>
      </c>
      <c r="O1003" s="4">
        <v>5000000</v>
      </c>
      <c r="P1003" s="4">
        <v>0</v>
      </c>
      <c r="Q1003" s="4">
        <v>0</v>
      </c>
      <c r="R1003" s="4">
        <v>0</v>
      </c>
      <c r="S1003" s="4">
        <v>0</v>
      </c>
      <c r="T1003" s="23">
        <v>1.98</v>
      </c>
      <c r="U1003" s="23">
        <v>1.9850000000000001</v>
      </c>
      <c r="V1003" s="5" t="s">
        <v>3432</v>
      </c>
      <c r="W1003" s="4">
        <v>20901</v>
      </c>
      <c r="X1003" s="4">
        <v>156140</v>
      </c>
      <c r="Y1003" s="10">
        <v>43621</v>
      </c>
      <c r="Z1003" s="10">
        <v>47135</v>
      </c>
      <c r="AA1003" s="2"/>
      <c r="AB1003" s="63" t="s">
        <v>3840</v>
      </c>
      <c r="AC1003" s="5" t="s">
        <v>9</v>
      </c>
      <c r="AD1003" s="76" t="s">
        <v>1088</v>
      </c>
      <c r="AE1003" s="6"/>
      <c r="AF1003" s="23"/>
      <c r="AG1003" s="10">
        <v>45764</v>
      </c>
      <c r="AH1003" s="5" t="s">
        <v>3</v>
      </c>
      <c r="AI1003" s="5" t="s">
        <v>3742</v>
      </c>
      <c r="AJ1003" s="5" t="s">
        <v>928</v>
      </c>
      <c r="AK1003" s="16" t="s">
        <v>3</v>
      </c>
      <c r="AL1003" s="65" t="s">
        <v>3842</v>
      </c>
      <c r="AM1003" s="31" t="s">
        <v>1631</v>
      </c>
    </row>
    <row r="1004" spans="2:39" x14ac:dyDescent="0.25">
      <c r="B1004" s="18" t="s">
        <v>466</v>
      </c>
      <c r="C1004" s="44" t="s">
        <v>2163</v>
      </c>
      <c r="D1004" s="20" t="s">
        <v>173</v>
      </c>
      <c r="E1004" s="67" t="s">
        <v>3</v>
      </c>
      <c r="F1004" s="51" t="s">
        <v>2218</v>
      </c>
      <c r="G1004" s="37" t="s">
        <v>1987</v>
      </c>
      <c r="H1004" s="68" t="s">
        <v>2715</v>
      </c>
      <c r="I1004" s="62" t="s">
        <v>1157</v>
      </c>
      <c r="J1004" s="61" t="s">
        <v>250</v>
      </c>
      <c r="K1004" s="4">
        <v>3712500</v>
      </c>
      <c r="L1004" s="39">
        <v>100.505</v>
      </c>
      <c r="M1004" s="4">
        <v>3768938</v>
      </c>
      <c r="N1004" s="4">
        <v>3750000</v>
      </c>
      <c r="O1004" s="4">
        <v>3719557</v>
      </c>
      <c r="P1004" s="4">
        <v>0</v>
      </c>
      <c r="Q1004" s="4">
        <v>4583</v>
      </c>
      <c r="R1004" s="4">
        <v>0</v>
      </c>
      <c r="S1004" s="4">
        <v>0</v>
      </c>
      <c r="T1004" s="23">
        <v>1.865</v>
      </c>
      <c r="U1004" s="23">
        <v>2.0070000000000001</v>
      </c>
      <c r="V1004" s="5" t="s">
        <v>3432</v>
      </c>
      <c r="W1004" s="4">
        <v>13014</v>
      </c>
      <c r="X1004" s="4">
        <v>110792</v>
      </c>
      <c r="Y1004" s="10">
        <v>43627</v>
      </c>
      <c r="Z1004" s="10">
        <v>48146</v>
      </c>
      <c r="AA1004" s="2"/>
      <c r="AB1004" s="63" t="s">
        <v>3840</v>
      </c>
      <c r="AC1004" s="5" t="s">
        <v>9</v>
      </c>
      <c r="AD1004" s="76" t="s">
        <v>1088</v>
      </c>
      <c r="AE1004" s="6"/>
      <c r="AF1004" s="23"/>
      <c r="AG1004" s="10">
        <v>46593</v>
      </c>
      <c r="AH1004" s="5" t="s">
        <v>3</v>
      </c>
      <c r="AI1004" s="5" t="s">
        <v>2164</v>
      </c>
      <c r="AJ1004" s="5" t="s">
        <v>928</v>
      </c>
      <c r="AK1004" s="16" t="s">
        <v>3</v>
      </c>
      <c r="AL1004" s="65" t="s">
        <v>3842</v>
      </c>
      <c r="AM1004" s="31" t="s">
        <v>1631</v>
      </c>
    </row>
    <row r="1005" spans="2:39" x14ac:dyDescent="0.25">
      <c r="B1005" s="18" t="s">
        <v>1533</v>
      </c>
      <c r="C1005" s="44" t="s">
        <v>2365</v>
      </c>
      <c r="D1005" s="20" t="s">
        <v>1091</v>
      </c>
      <c r="E1005" s="67" t="s">
        <v>3</v>
      </c>
      <c r="F1005" s="51" t="s">
        <v>1157</v>
      </c>
      <c r="G1005" s="37" t="s">
        <v>1987</v>
      </c>
      <c r="H1005" s="68" t="s">
        <v>2715</v>
      </c>
      <c r="I1005" s="62" t="s">
        <v>3310</v>
      </c>
      <c r="J1005" s="61" t="s">
        <v>250</v>
      </c>
      <c r="K1005" s="4">
        <v>5000000</v>
      </c>
      <c r="L1005" s="39">
        <v>99.754999999999995</v>
      </c>
      <c r="M1005" s="4">
        <v>4987750</v>
      </c>
      <c r="N1005" s="4">
        <v>5000000</v>
      </c>
      <c r="O1005" s="4">
        <v>5000000</v>
      </c>
      <c r="P1005" s="4">
        <v>0</v>
      </c>
      <c r="Q1005" s="4">
        <v>0</v>
      </c>
      <c r="R1005" s="4">
        <v>0</v>
      </c>
      <c r="S1005" s="4">
        <v>0</v>
      </c>
      <c r="T1005" s="23">
        <v>1.218</v>
      </c>
      <c r="U1005" s="23">
        <v>1.22</v>
      </c>
      <c r="V1005" s="5" t="s">
        <v>3432</v>
      </c>
      <c r="W1005" s="4">
        <v>12353</v>
      </c>
      <c r="X1005" s="4">
        <v>116374</v>
      </c>
      <c r="Y1005" s="10">
        <v>43154</v>
      </c>
      <c r="Z1005" s="10">
        <v>47958</v>
      </c>
      <c r="AA1005" s="2"/>
      <c r="AB1005" s="63" t="s">
        <v>3840</v>
      </c>
      <c r="AC1005" s="5" t="s">
        <v>9</v>
      </c>
      <c r="AD1005" s="76" t="s">
        <v>1088</v>
      </c>
      <c r="AE1005" s="6"/>
      <c r="AF1005" s="23"/>
      <c r="AG1005" s="10">
        <v>46042</v>
      </c>
      <c r="AH1005" s="5" t="s">
        <v>3</v>
      </c>
      <c r="AI1005" s="5" t="s">
        <v>4106</v>
      </c>
      <c r="AJ1005" s="5" t="s">
        <v>928</v>
      </c>
      <c r="AK1005" s="16" t="s">
        <v>3</v>
      </c>
      <c r="AL1005" s="65" t="s">
        <v>3842</v>
      </c>
      <c r="AM1005" s="31" t="s">
        <v>2217</v>
      </c>
    </row>
    <row r="1006" spans="2:39" x14ac:dyDescent="0.25">
      <c r="B1006" s="18" t="s">
        <v>2631</v>
      </c>
      <c r="C1006" s="44" t="s">
        <v>2165</v>
      </c>
      <c r="D1006" s="20" t="s">
        <v>4107</v>
      </c>
      <c r="E1006" s="67" t="s">
        <v>3</v>
      </c>
      <c r="F1006" s="51" t="s">
        <v>1157</v>
      </c>
      <c r="G1006" s="37" t="s">
        <v>1987</v>
      </c>
      <c r="H1006" s="68" t="s">
        <v>2715</v>
      </c>
      <c r="I1006" s="62" t="s">
        <v>252</v>
      </c>
      <c r="J1006" s="61" t="s">
        <v>250</v>
      </c>
      <c r="K1006" s="4">
        <v>4869240</v>
      </c>
      <c r="L1006" s="39">
        <v>100.98</v>
      </c>
      <c r="M1006" s="4">
        <v>4917199</v>
      </c>
      <c r="N1006" s="4">
        <v>4869470</v>
      </c>
      <c r="O1006" s="4">
        <v>4869248</v>
      </c>
      <c r="P1006" s="4">
        <v>0</v>
      </c>
      <c r="Q1006" s="4">
        <v>8</v>
      </c>
      <c r="R1006" s="4">
        <v>0</v>
      </c>
      <c r="S1006" s="4">
        <v>0</v>
      </c>
      <c r="T1006" s="23">
        <v>2.17</v>
      </c>
      <c r="U1006" s="23">
        <v>2.181</v>
      </c>
      <c r="V1006" s="5" t="s">
        <v>415</v>
      </c>
      <c r="W1006" s="4">
        <v>4109</v>
      </c>
      <c r="X1006" s="4">
        <v>28472</v>
      </c>
      <c r="Y1006" s="10">
        <v>44076</v>
      </c>
      <c r="Z1006" s="10">
        <v>51426</v>
      </c>
      <c r="AA1006" s="2"/>
      <c r="AB1006" s="63" t="s">
        <v>3840</v>
      </c>
      <c r="AC1006" s="5" t="s">
        <v>9</v>
      </c>
      <c r="AD1006" s="76" t="s">
        <v>143</v>
      </c>
      <c r="AE1006" s="6"/>
      <c r="AF1006" s="23"/>
      <c r="AG1006" s="10">
        <v>47531</v>
      </c>
      <c r="AH1006" s="5" t="s">
        <v>3</v>
      </c>
      <c r="AI1006" s="5" t="s">
        <v>4384</v>
      </c>
      <c r="AJ1006" s="5" t="s">
        <v>928</v>
      </c>
      <c r="AK1006" s="16" t="s">
        <v>3</v>
      </c>
      <c r="AL1006" s="65" t="s">
        <v>3842</v>
      </c>
      <c r="AM1006" s="31" t="s">
        <v>898</v>
      </c>
    </row>
    <row r="1007" spans="2:39" x14ac:dyDescent="0.25">
      <c r="B1007" s="18" t="s">
        <v>4108</v>
      </c>
      <c r="C1007" s="44" t="s">
        <v>1534</v>
      </c>
      <c r="D1007" s="20" t="s">
        <v>2366</v>
      </c>
      <c r="E1007" s="67" t="s">
        <v>3</v>
      </c>
      <c r="F1007" s="51" t="s">
        <v>1157</v>
      </c>
      <c r="G1007" s="37" t="s">
        <v>1987</v>
      </c>
      <c r="H1007" s="68" t="s">
        <v>2715</v>
      </c>
      <c r="I1007" s="62" t="s">
        <v>3310</v>
      </c>
      <c r="J1007" s="61" t="s">
        <v>250</v>
      </c>
      <c r="K1007" s="4">
        <v>5250000</v>
      </c>
      <c r="L1007" s="39">
        <v>99.896000000000001</v>
      </c>
      <c r="M1007" s="4">
        <v>5244540</v>
      </c>
      <c r="N1007" s="4">
        <v>5250000</v>
      </c>
      <c r="O1007" s="4">
        <v>5250000</v>
      </c>
      <c r="P1007" s="4">
        <v>0</v>
      </c>
      <c r="Q1007" s="4">
        <v>0</v>
      </c>
      <c r="R1007" s="4">
        <v>0</v>
      </c>
      <c r="S1007" s="4">
        <v>0</v>
      </c>
      <c r="T1007" s="23">
        <v>1.288</v>
      </c>
      <c r="U1007" s="23">
        <v>1.288</v>
      </c>
      <c r="V1007" s="5" t="s">
        <v>3432</v>
      </c>
      <c r="W1007" s="4">
        <v>13897</v>
      </c>
      <c r="X1007" s="4">
        <v>127569</v>
      </c>
      <c r="Y1007" s="10">
        <v>43077</v>
      </c>
      <c r="Z1007" s="10">
        <v>47866</v>
      </c>
      <c r="AA1007" s="2"/>
      <c r="AB1007" s="63" t="s">
        <v>3840</v>
      </c>
      <c r="AC1007" s="5" t="s">
        <v>9</v>
      </c>
      <c r="AD1007" s="76" t="s">
        <v>1088</v>
      </c>
      <c r="AE1007" s="6"/>
      <c r="AF1007" s="23"/>
      <c r="AG1007" s="10">
        <v>46313</v>
      </c>
      <c r="AH1007" s="5" t="s">
        <v>1535</v>
      </c>
      <c r="AI1007" s="5" t="s">
        <v>1281</v>
      </c>
      <c r="AJ1007" s="5" t="s">
        <v>928</v>
      </c>
      <c r="AK1007" s="16" t="s">
        <v>3</v>
      </c>
      <c r="AL1007" s="65" t="s">
        <v>3842</v>
      </c>
      <c r="AM1007" s="31" t="s">
        <v>2217</v>
      </c>
    </row>
    <row r="1008" spans="2:39" x14ac:dyDescent="0.25">
      <c r="B1008" s="18" t="s">
        <v>802</v>
      </c>
      <c r="C1008" s="44" t="s">
        <v>1536</v>
      </c>
      <c r="D1008" s="20" t="s">
        <v>1092</v>
      </c>
      <c r="E1008" s="67" t="s">
        <v>3</v>
      </c>
      <c r="F1008" s="51" t="s">
        <v>1157</v>
      </c>
      <c r="G1008" s="37" t="s">
        <v>1987</v>
      </c>
      <c r="H1008" s="68" t="s">
        <v>2715</v>
      </c>
      <c r="I1008" s="62" t="s">
        <v>1157</v>
      </c>
      <c r="J1008" s="61" t="s">
        <v>250</v>
      </c>
      <c r="K1008" s="4">
        <v>6000000</v>
      </c>
      <c r="L1008" s="39">
        <v>100</v>
      </c>
      <c r="M1008" s="4">
        <v>6000000</v>
      </c>
      <c r="N1008" s="4">
        <v>6000000</v>
      </c>
      <c r="O1008" s="4">
        <v>6000000</v>
      </c>
      <c r="P1008" s="4">
        <v>0</v>
      </c>
      <c r="Q1008" s="4">
        <v>0</v>
      </c>
      <c r="R1008" s="4">
        <v>0</v>
      </c>
      <c r="S1008" s="4">
        <v>0</v>
      </c>
      <c r="T1008" s="23">
        <v>1.8680000000000001</v>
      </c>
      <c r="U1008" s="23">
        <v>1.873</v>
      </c>
      <c r="V1008" s="5" t="s">
        <v>3432</v>
      </c>
      <c r="W1008" s="4">
        <v>22732</v>
      </c>
      <c r="X1008" s="4">
        <v>179190</v>
      </c>
      <c r="Y1008" s="10">
        <v>42926</v>
      </c>
      <c r="Z1008" s="10">
        <v>47684</v>
      </c>
      <c r="AA1008" s="2"/>
      <c r="AB1008" s="63" t="s">
        <v>3840</v>
      </c>
      <c r="AC1008" s="5" t="s">
        <v>9</v>
      </c>
      <c r="AD1008" s="76" t="s">
        <v>143</v>
      </c>
      <c r="AE1008" s="6"/>
      <c r="AF1008" s="23"/>
      <c r="AG1008" s="10">
        <v>46132</v>
      </c>
      <c r="AH1008" s="5" t="s">
        <v>3</v>
      </c>
      <c r="AI1008" s="5" t="s">
        <v>1282</v>
      </c>
      <c r="AJ1008" s="5" t="s">
        <v>928</v>
      </c>
      <c r="AK1008" s="16" t="s">
        <v>3</v>
      </c>
      <c r="AL1008" s="65" t="s">
        <v>3842</v>
      </c>
      <c r="AM1008" s="31" t="s">
        <v>1631</v>
      </c>
    </row>
    <row r="1009" spans="2:39" x14ac:dyDescent="0.25">
      <c r="B1009" s="18" t="s">
        <v>1897</v>
      </c>
      <c r="C1009" s="44" t="s">
        <v>4109</v>
      </c>
      <c r="D1009" s="20" t="s">
        <v>1093</v>
      </c>
      <c r="E1009" s="67" t="s">
        <v>3</v>
      </c>
      <c r="F1009" s="51" t="s">
        <v>2218</v>
      </c>
      <c r="G1009" s="37" t="s">
        <v>1987</v>
      </c>
      <c r="H1009" s="68" t="s">
        <v>2715</v>
      </c>
      <c r="I1009" s="62" t="s">
        <v>1157</v>
      </c>
      <c r="J1009" s="61" t="s">
        <v>250</v>
      </c>
      <c r="K1009" s="4">
        <v>3000000</v>
      </c>
      <c r="L1009" s="39">
        <v>100.491</v>
      </c>
      <c r="M1009" s="4">
        <v>3014730</v>
      </c>
      <c r="N1009" s="4">
        <v>3000000</v>
      </c>
      <c r="O1009" s="4">
        <v>3000000</v>
      </c>
      <c r="P1009" s="4">
        <v>0</v>
      </c>
      <c r="Q1009" s="4">
        <v>0</v>
      </c>
      <c r="R1009" s="4">
        <v>0</v>
      </c>
      <c r="S1009" s="4">
        <v>0</v>
      </c>
      <c r="T1009" s="23">
        <v>2.0179999999999998</v>
      </c>
      <c r="U1009" s="23">
        <v>2.0230000000000001</v>
      </c>
      <c r="V1009" s="5" t="s">
        <v>3432</v>
      </c>
      <c r="W1009" s="4">
        <v>12278</v>
      </c>
      <c r="X1009" s="4">
        <v>94158</v>
      </c>
      <c r="Y1009" s="10">
        <v>43605</v>
      </c>
      <c r="Z1009" s="10">
        <v>47138</v>
      </c>
      <c r="AA1009" s="2"/>
      <c r="AB1009" s="63" t="s">
        <v>3840</v>
      </c>
      <c r="AC1009" s="5" t="s">
        <v>9</v>
      </c>
      <c r="AD1009" s="76" t="s">
        <v>1088</v>
      </c>
      <c r="AE1009" s="6"/>
      <c r="AF1009" s="23"/>
      <c r="AG1009" s="10">
        <v>45768</v>
      </c>
      <c r="AH1009" s="5" t="s">
        <v>3</v>
      </c>
      <c r="AI1009" s="5" t="s">
        <v>1537</v>
      </c>
      <c r="AJ1009" s="5" t="s">
        <v>928</v>
      </c>
      <c r="AK1009" s="16" t="s">
        <v>3</v>
      </c>
      <c r="AL1009" s="65" t="s">
        <v>3842</v>
      </c>
      <c r="AM1009" s="31" t="s">
        <v>1631</v>
      </c>
    </row>
    <row r="1010" spans="2:39" x14ac:dyDescent="0.25">
      <c r="B1010" s="18" t="s">
        <v>3743</v>
      </c>
      <c r="C1010" s="44" t="s">
        <v>803</v>
      </c>
      <c r="D1010" s="20" t="s">
        <v>3464</v>
      </c>
      <c r="E1010" s="67" t="s">
        <v>3</v>
      </c>
      <c r="F1010" s="51" t="s">
        <v>1157</v>
      </c>
      <c r="G1010" s="37" t="s">
        <v>1987</v>
      </c>
      <c r="H1010" s="68" t="s">
        <v>2715</v>
      </c>
      <c r="I1010" s="62" t="s">
        <v>1157</v>
      </c>
      <c r="J1010" s="61" t="s">
        <v>250</v>
      </c>
      <c r="K1010" s="4">
        <v>8625000</v>
      </c>
      <c r="L1010" s="39">
        <v>100.488</v>
      </c>
      <c r="M1010" s="4">
        <v>8667090</v>
      </c>
      <c r="N1010" s="4">
        <v>8625000</v>
      </c>
      <c r="O1010" s="4">
        <v>8625000</v>
      </c>
      <c r="P1010" s="4">
        <v>0</v>
      </c>
      <c r="Q1010" s="4">
        <v>0</v>
      </c>
      <c r="R1010" s="4">
        <v>0</v>
      </c>
      <c r="S1010" s="4">
        <v>0</v>
      </c>
      <c r="T1010" s="23">
        <v>1.8879999999999999</v>
      </c>
      <c r="U1010" s="23">
        <v>1.8919999999999999</v>
      </c>
      <c r="V1010" s="5" t="s">
        <v>3432</v>
      </c>
      <c r="W1010" s="4">
        <v>33468</v>
      </c>
      <c r="X1010" s="4">
        <v>262288</v>
      </c>
      <c r="Y1010" s="10">
        <v>42915</v>
      </c>
      <c r="Z1010" s="10">
        <v>47681</v>
      </c>
      <c r="AA1010" s="2"/>
      <c r="AB1010" s="63" t="s">
        <v>3840</v>
      </c>
      <c r="AC1010" s="5" t="s">
        <v>9</v>
      </c>
      <c r="AD1010" s="76" t="s">
        <v>143</v>
      </c>
      <c r="AE1010" s="6"/>
      <c r="AF1010" s="23"/>
      <c r="AG1010" s="10">
        <v>45764</v>
      </c>
      <c r="AH1010" s="5" t="s">
        <v>3</v>
      </c>
      <c r="AI1010" s="5" t="s">
        <v>1538</v>
      </c>
      <c r="AJ1010" s="5" t="s">
        <v>928</v>
      </c>
      <c r="AK1010" s="16" t="s">
        <v>3</v>
      </c>
      <c r="AL1010" s="65" t="s">
        <v>3842</v>
      </c>
      <c r="AM1010" s="31" t="s">
        <v>1631</v>
      </c>
    </row>
    <row r="1011" spans="2:39" x14ac:dyDescent="0.25">
      <c r="B1011" s="18" t="s">
        <v>467</v>
      </c>
      <c r="C1011" s="44" t="s">
        <v>3465</v>
      </c>
      <c r="D1011" s="20" t="s">
        <v>2985</v>
      </c>
      <c r="E1011" s="67" t="s">
        <v>3</v>
      </c>
      <c r="F1011" s="51" t="s">
        <v>1157</v>
      </c>
      <c r="G1011" s="37" t="s">
        <v>3842</v>
      </c>
      <c r="H1011" s="68" t="s">
        <v>2715</v>
      </c>
      <c r="I1011" s="62" t="s">
        <v>3310</v>
      </c>
      <c r="J1011" s="61" t="s">
        <v>250</v>
      </c>
      <c r="K1011" s="4">
        <v>7122863</v>
      </c>
      <c r="L1011" s="39">
        <v>99.858999999999995</v>
      </c>
      <c r="M1011" s="4">
        <v>7114954</v>
      </c>
      <c r="N1011" s="4">
        <v>7125000</v>
      </c>
      <c r="O1011" s="4">
        <v>7122878</v>
      </c>
      <c r="P1011" s="4">
        <v>0</v>
      </c>
      <c r="Q1011" s="4">
        <v>16</v>
      </c>
      <c r="R1011" s="4">
        <v>0</v>
      </c>
      <c r="S1011" s="4">
        <v>0</v>
      </c>
      <c r="T1011" s="23">
        <v>1.319</v>
      </c>
      <c r="U1011" s="23">
        <v>1.329</v>
      </c>
      <c r="V1011" s="5" t="s">
        <v>3432</v>
      </c>
      <c r="W1011" s="4">
        <v>17753</v>
      </c>
      <c r="X1011" s="4">
        <v>0</v>
      </c>
      <c r="Y1011" s="10">
        <v>44183</v>
      </c>
      <c r="Z1011" s="10">
        <v>47963</v>
      </c>
      <c r="AA1011" s="2"/>
      <c r="AB1011" s="63" t="s">
        <v>3840</v>
      </c>
      <c r="AC1011" s="5" t="s">
        <v>9</v>
      </c>
      <c r="AD1011" s="76" t="s">
        <v>1088</v>
      </c>
      <c r="AE1011" s="10">
        <v>44221</v>
      </c>
      <c r="AF1011" s="23">
        <v>100</v>
      </c>
      <c r="AG1011" s="10">
        <v>46048</v>
      </c>
      <c r="AH1011" s="5" t="s">
        <v>3</v>
      </c>
      <c r="AI1011" s="5" t="s">
        <v>1898</v>
      </c>
      <c r="AJ1011" s="5" t="s">
        <v>928</v>
      </c>
      <c r="AK1011" s="16" t="s">
        <v>3</v>
      </c>
      <c r="AL1011" s="65" t="s">
        <v>2715</v>
      </c>
      <c r="AM1011" s="31" t="s">
        <v>2217</v>
      </c>
    </row>
    <row r="1012" spans="2:39" x14ac:dyDescent="0.25">
      <c r="B1012" s="18" t="s">
        <v>1539</v>
      </c>
      <c r="C1012" s="44" t="s">
        <v>1899</v>
      </c>
      <c r="D1012" s="20" t="s">
        <v>3466</v>
      </c>
      <c r="E1012" s="67" t="s">
        <v>3</v>
      </c>
      <c r="F1012" s="51" t="s">
        <v>1157</v>
      </c>
      <c r="G1012" s="37" t="s">
        <v>3445</v>
      </c>
      <c r="H1012" s="68" t="s">
        <v>2715</v>
      </c>
      <c r="I1012" s="62" t="s">
        <v>3310</v>
      </c>
      <c r="J1012" s="61" t="s">
        <v>250</v>
      </c>
      <c r="K1012" s="4">
        <v>10000000</v>
      </c>
      <c r="L1012" s="39">
        <v>100.078</v>
      </c>
      <c r="M1012" s="4">
        <v>10007800</v>
      </c>
      <c r="N1012" s="4">
        <v>10000000</v>
      </c>
      <c r="O1012" s="4">
        <v>10000000</v>
      </c>
      <c r="P1012" s="4">
        <v>0</v>
      </c>
      <c r="Q1012" s="4">
        <v>0</v>
      </c>
      <c r="R1012" s="4">
        <v>0</v>
      </c>
      <c r="S1012" s="4">
        <v>0</v>
      </c>
      <c r="T1012" s="23">
        <v>1.468</v>
      </c>
      <c r="U1012" s="23">
        <v>1.47</v>
      </c>
      <c r="V1012" s="5" t="s">
        <v>3432</v>
      </c>
      <c r="W1012" s="4">
        <v>22832</v>
      </c>
      <c r="X1012" s="4">
        <v>0</v>
      </c>
      <c r="Y1012" s="10">
        <v>44098</v>
      </c>
      <c r="Z1012" s="10">
        <v>48506</v>
      </c>
      <c r="AA1012" s="2"/>
      <c r="AB1012" s="63" t="s">
        <v>3840</v>
      </c>
      <c r="AC1012" s="5" t="s">
        <v>9</v>
      </c>
      <c r="AD1012" s="76" t="s">
        <v>1088</v>
      </c>
      <c r="AE1012" s="10">
        <v>44488</v>
      </c>
      <c r="AF1012" s="23">
        <v>100</v>
      </c>
      <c r="AG1012" s="10">
        <v>46406</v>
      </c>
      <c r="AH1012" s="5" t="s">
        <v>3</v>
      </c>
      <c r="AI1012" s="5" t="s">
        <v>1094</v>
      </c>
      <c r="AJ1012" s="5" t="s">
        <v>928</v>
      </c>
      <c r="AK1012" s="16" t="s">
        <v>3</v>
      </c>
      <c r="AL1012" s="65" t="s">
        <v>3842</v>
      </c>
      <c r="AM1012" s="31" t="s">
        <v>2217</v>
      </c>
    </row>
    <row r="1013" spans="2:39" x14ac:dyDescent="0.25">
      <c r="B1013" s="18" t="s">
        <v>2632</v>
      </c>
      <c r="C1013" s="44" t="s">
        <v>1900</v>
      </c>
      <c r="D1013" s="20" t="s">
        <v>174</v>
      </c>
      <c r="E1013" s="67" t="s">
        <v>3</v>
      </c>
      <c r="F1013" s="51" t="s">
        <v>1157</v>
      </c>
      <c r="G1013" s="37" t="s">
        <v>1987</v>
      </c>
      <c r="H1013" s="68" t="s">
        <v>2715</v>
      </c>
      <c r="I1013" s="62" t="s">
        <v>1157</v>
      </c>
      <c r="J1013" s="61" t="s">
        <v>250</v>
      </c>
      <c r="K1013" s="4">
        <v>5000000</v>
      </c>
      <c r="L1013" s="39">
        <v>99.787999999999997</v>
      </c>
      <c r="M1013" s="4">
        <v>4989400</v>
      </c>
      <c r="N1013" s="4">
        <v>5000000</v>
      </c>
      <c r="O1013" s="4">
        <v>5000000</v>
      </c>
      <c r="P1013" s="4">
        <v>0</v>
      </c>
      <c r="Q1013" s="4">
        <v>0</v>
      </c>
      <c r="R1013" s="4">
        <v>0</v>
      </c>
      <c r="S1013" s="4">
        <v>0</v>
      </c>
      <c r="T1013" s="23">
        <v>1.718</v>
      </c>
      <c r="U1013" s="23">
        <v>1.722</v>
      </c>
      <c r="V1013" s="5" t="s">
        <v>3432</v>
      </c>
      <c r="W1013" s="4">
        <v>17422</v>
      </c>
      <c r="X1013" s="4">
        <v>141721</v>
      </c>
      <c r="Y1013" s="10">
        <v>43025</v>
      </c>
      <c r="Z1013" s="10">
        <v>47868</v>
      </c>
      <c r="AA1013" s="2"/>
      <c r="AB1013" s="63" t="s">
        <v>3840</v>
      </c>
      <c r="AC1013" s="5" t="s">
        <v>9</v>
      </c>
      <c r="AD1013" s="76" t="s">
        <v>1088</v>
      </c>
      <c r="AE1013" s="6"/>
      <c r="AF1013" s="23"/>
      <c r="AG1013" s="10">
        <v>46132</v>
      </c>
      <c r="AH1013" s="5" t="s">
        <v>3</v>
      </c>
      <c r="AI1013" s="5" t="s">
        <v>1283</v>
      </c>
      <c r="AJ1013" s="5" t="s">
        <v>928</v>
      </c>
      <c r="AK1013" s="16" t="s">
        <v>3</v>
      </c>
      <c r="AL1013" s="65" t="s">
        <v>2715</v>
      </c>
      <c r="AM1013" s="31" t="s">
        <v>1631</v>
      </c>
    </row>
    <row r="1014" spans="2:39" x14ac:dyDescent="0.25">
      <c r="B1014" s="18" t="s">
        <v>3744</v>
      </c>
      <c r="C1014" s="44" t="s">
        <v>175</v>
      </c>
      <c r="D1014" s="20" t="s">
        <v>1540</v>
      </c>
      <c r="E1014" s="67" t="s">
        <v>3</v>
      </c>
      <c r="F1014" s="51" t="s">
        <v>1157</v>
      </c>
      <c r="G1014" s="37" t="s">
        <v>1987</v>
      </c>
      <c r="H1014" s="68" t="s">
        <v>2715</v>
      </c>
      <c r="I1014" s="62" t="s">
        <v>3310</v>
      </c>
      <c r="J1014" s="61" t="s">
        <v>250</v>
      </c>
      <c r="K1014" s="4">
        <v>1944000</v>
      </c>
      <c r="L1014" s="39">
        <v>99.039000000000001</v>
      </c>
      <c r="M1014" s="4">
        <v>1980780</v>
      </c>
      <c r="N1014" s="4">
        <v>2000000</v>
      </c>
      <c r="O1014" s="4">
        <v>1949212</v>
      </c>
      <c r="P1014" s="4">
        <v>0</v>
      </c>
      <c r="Q1014" s="4">
        <v>5212</v>
      </c>
      <c r="R1014" s="4">
        <v>0</v>
      </c>
      <c r="S1014" s="4">
        <v>0</v>
      </c>
      <c r="T1014" s="23">
        <v>1.4870000000000001</v>
      </c>
      <c r="U1014" s="23">
        <v>2.004</v>
      </c>
      <c r="V1014" s="5" t="s">
        <v>3432</v>
      </c>
      <c r="W1014" s="4">
        <v>6443</v>
      </c>
      <c r="X1014" s="4">
        <v>20276</v>
      </c>
      <c r="Y1014" s="10">
        <v>43990</v>
      </c>
      <c r="Z1014" s="10">
        <v>47498</v>
      </c>
      <c r="AA1014" s="2"/>
      <c r="AB1014" s="63" t="s">
        <v>3840</v>
      </c>
      <c r="AC1014" s="5" t="s">
        <v>9</v>
      </c>
      <c r="AD1014" s="76" t="s">
        <v>1088</v>
      </c>
      <c r="AE1014" s="6"/>
      <c r="AF1014" s="23"/>
      <c r="AG1014" s="10">
        <v>46127</v>
      </c>
      <c r="AH1014" s="5" t="s">
        <v>3</v>
      </c>
      <c r="AI1014" s="5" t="s">
        <v>176</v>
      </c>
      <c r="AJ1014" s="5" t="s">
        <v>928</v>
      </c>
      <c r="AK1014" s="16" t="s">
        <v>3</v>
      </c>
      <c r="AL1014" s="65" t="s">
        <v>2715</v>
      </c>
      <c r="AM1014" s="31" t="s">
        <v>2217</v>
      </c>
    </row>
    <row r="1015" spans="2:39" x14ac:dyDescent="0.25">
      <c r="B1015" s="18" t="s">
        <v>804</v>
      </c>
      <c r="C1015" s="44" t="s">
        <v>1284</v>
      </c>
      <c r="D1015" s="20" t="s">
        <v>4097</v>
      </c>
      <c r="E1015" s="67" t="s">
        <v>3</v>
      </c>
      <c r="F1015" s="51" t="s">
        <v>1157</v>
      </c>
      <c r="G1015" s="37" t="s">
        <v>1256</v>
      </c>
      <c r="H1015" s="68" t="s">
        <v>2715</v>
      </c>
      <c r="I1015" s="62" t="s">
        <v>252</v>
      </c>
      <c r="J1015" s="61" t="s">
        <v>250</v>
      </c>
      <c r="K1015" s="4">
        <v>9764318</v>
      </c>
      <c r="L1015" s="39">
        <v>101.39700000000001</v>
      </c>
      <c r="M1015" s="4">
        <v>9903667</v>
      </c>
      <c r="N1015" s="4">
        <v>9767226</v>
      </c>
      <c r="O1015" s="4">
        <v>9764422</v>
      </c>
      <c r="P1015" s="4">
        <v>0</v>
      </c>
      <c r="Q1015" s="4">
        <v>104</v>
      </c>
      <c r="R1015" s="4">
        <v>0</v>
      </c>
      <c r="S1015" s="4">
        <v>0</v>
      </c>
      <c r="T1015" s="23">
        <v>2.1</v>
      </c>
      <c r="U1015" s="23">
        <v>2.1150000000000002</v>
      </c>
      <c r="V1015" s="5" t="s">
        <v>415</v>
      </c>
      <c r="W1015" s="4">
        <v>6267</v>
      </c>
      <c r="X1015" s="4">
        <v>50708</v>
      </c>
      <c r="Y1015" s="10">
        <v>44082</v>
      </c>
      <c r="Z1015" s="10">
        <v>53225</v>
      </c>
      <c r="AA1015" s="2"/>
      <c r="AB1015" s="63" t="s">
        <v>3840</v>
      </c>
      <c r="AC1015" s="5" t="s">
        <v>9</v>
      </c>
      <c r="AD1015" s="76" t="s">
        <v>4350</v>
      </c>
      <c r="AE1015" s="10">
        <v>44824</v>
      </c>
      <c r="AF1015" s="23">
        <v>100</v>
      </c>
      <c r="AG1015" s="10">
        <v>47654</v>
      </c>
      <c r="AH1015" s="5" t="s">
        <v>3</v>
      </c>
      <c r="AI1015" s="5" t="s">
        <v>2616</v>
      </c>
      <c r="AJ1015" s="5" t="s">
        <v>928</v>
      </c>
      <c r="AK1015" s="16" t="s">
        <v>3</v>
      </c>
      <c r="AL1015" s="65" t="s">
        <v>3842</v>
      </c>
      <c r="AM1015" s="31" t="s">
        <v>898</v>
      </c>
    </row>
    <row r="1016" spans="2:39" x14ac:dyDescent="0.25">
      <c r="B1016" s="18" t="s">
        <v>1901</v>
      </c>
      <c r="C1016" s="44" t="s">
        <v>1095</v>
      </c>
      <c r="D1016" s="20" t="s">
        <v>3253</v>
      </c>
      <c r="E1016" s="67" t="s">
        <v>3</v>
      </c>
      <c r="F1016" s="51" t="s">
        <v>1157</v>
      </c>
      <c r="G1016" s="37" t="s">
        <v>1256</v>
      </c>
      <c r="H1016" s="68" t="s">
        <v>2715</v>
      </c>
      <c r="I1016" s="62" t="s">
        <v>1157</v>
      </c>
      <c r="J1016" s="61" t="s">
        <v>250</v>
      </c>
      <c r="K1016" s="4">
        <v>7000000</v>
      </c>
      <c r="L1016" s="39">
        <v>100.29300000000001</v>
      </c>
      <c r="M1016" s="4">
        <v>7020510</v>
      </c>
      <c r="N1016" s="4">
        <v>7000000</v>
      </c>
      <c r="O1016" s="4">
        <v>7000000</v>
      </c>
      <c r="P1016" s="4">
        <v>0</v>
      </c>
      <c r="Q1016" s="4">
        <v>0</v>
      </c>
      <c r="R1016" s="4">
        <v>0</v>
      </c>
      <c r="S1016" s="4">
        <v>0</v>
      </c>
      <c r="T1016" s="23">
        <v>2.0369999999999999</v>
      </c>
      <c r="U1016" s="23">
        <v>2.0310000000000001</v>
      </c>
      <c r="V1016" s="5" t="s">
        <v>3432</v>
      </c>
      <c r="W1016" s="4">
        <v>30893</v>
      </c>
      <c r="X1016" s="4">
        <v>98475</v>
      </c>
      <c r="Y1016" s="10">
        <v>43886</v>
      </c>
      <c r="Z1016" s="10">
        <v>48684</v>
      </c>
      <c r="AA1016" s="2"/>
      <c r="AB1016" s="63" t="s">
        <v>3840</v>
      </c>
      <c r="AC1016" s="5" t="s">
        <v>9</v>
      </c>
      <c r="AD1016" s="76" t="s">
        <v>1088</v>
      </c>
      <c r="AE1016" s="10">
        <v>44666</v>
      </c>
      <c r="AF1016" s="23">
        <v>100</v>
      </c>
      <c r="AG1016" s="10">
        <v>47223</v>
      </c>
      <c r="AH1016" s="5" t="s">
        <v>3</v>
      </c>
      <c r="AI1016" s="5" t="s">
        <v>3254</v>
      </c>
      <c r="AJ1016" s="5" t="s">
        <v>928</v>
      </c>
      <c r="AK1016" s="16" t="s">
        <v>3</v>
      </c>
      <c r="AL1016" s="65" t="s">
        <v>3842</v>
      </c>
      <c r="AM1016" s="31" t="s">
        <v>1631</v>
      </c>
    </row>
    <row r="1017" spans="2:39" x14ac:dyDescent="0.25">
      <c r="B1017" s="18" t="s">
        <v>2986</v>
      </c>
      <c r="C1017" s="44" t="s">
        <v>3255</v>
      </c>
      <c r="D1017" s="20" t="s">
        <v>2367</v>
      </c>
      <c r="E1017" s="67" t="s">
        <v>3</v>
      </c>
      <c r="F1017" s="51" t="s">
        <v>2218</v>
      </c>
      <c r="G1017" s="37" t="s">
        <v>1256</v>
      </c>
      <c r="H1017" s="68" t="s">
        <v>2715</v>
      </c>
      <c r="I1017" s="62" t="s">
        <v>1157</v>
      </c>
      <c r="J1017" s="61" t="s">
        <v>250</v>
      </c>
      <c r="K1017" s="4">
        <v>2000000</v>
      </c>
      <c r="L1017" s="39">
        <v>100.486</v>
      </c>
      <c r="M1017" s="4">
        <v>2009720</v>
      </c>
      <c r="N1017" s="4">
        <v>2000000</v>
      </c>
      <c r="O1017" s="4">
        <v>2000000</v>
      </c>
      <c r="P1017" s="4">
        <v>0</v>
      </c>
      <c r="Q1017" s="4">
        <v>0</v>
      </c>
      <c r="R1017" s="4">
        <v>0</v>
      </c>
      <c r="S1017" s="4">
        <v>0</v>
      </c>
      <c r="T1017" s="23">
        <v>2.137</v>
      </c>
      <c r="U1017" s="23">
        <v>2.1429999999999998</v>
      </c>
      <c r="V1017" s="5" t="s">
        <v>3432</v>
      </c>
      <c r="W1017" s="4">
        <v>9260</v>
      </c>
      <c r="X1017" s="4">
        <v>65686</v>
      </c>
      <c r="Y1017" s="10">
        <v>43606</v>
      </c>
      <c r="Z1017" s="10">
        <v>48410</v>
      </c>
      <c r="AA1017" s="2"/>
      <c r="AB1017" s="63" t="s">
        <v>3840</v>
      </c>
      <c r="AC1017" s="5" t="s">
        <v>9</v>
      </c>
      <c r="AD1017" s="76" t="s">
        <v>1088</v>
      </c>
      <c r="AE1017" s="10">
        <v>44392</v>
      </c>
      <c r="AF1017" s="23">
        <v>100</v>
      </c>
      <c r="AG1017" s="10">
        <v>46675</v>
      </c>
      <c r="AH1017" s="5" t="s">
        <v>3</v>
      </c>
      <c r="AI1017" s="5" t="s">
        <v>4385</v>
      </c>
      <c r="AJ1017" s="5" t="s">
        <v>928</v>
      </c>
      <c r="AK1017" s="16" t="s">
        <v>3</v>
      </c>
      <c r="AL1017" s="65" t="s">
        <v>3842</v>
      </c>
      <c r="AM1017" s="31" t="s">
        <v>1631</v>
      </c>
    </row>
    <row r="1018" spans="2:39" x14ac:dyDescent="0.25">
      <c r="B1018" s="18" t="s">
        <v>4110</v>
      </c>
      <c r="C1018" s="44" t="s">
        <v>2166</v>
      </c>
      <c r="D1018" s="20" t="s">
        <v>177</v>
      </c>
      <c r="E1018" s="67" t="s">
        <v>3</v>
      </c>
      <c r="F1018" s="51" t="s">
        <v>2218</v>
      </c>
      <c r="G1018" s="37" t="s">
        <v>1987</v>
      </c>
      <c r="H1018" s="68" t="s">
        <v>2715</v>
      </c>
      <c r="I1018" s="62" t="s">
        <v>3310</v>
      </c>
      <c r="J1018" s="61" t="s">
        <v>250</v>
      </c>
      <c r="K1018" s="4">
        <v>4937500</v>
      </c>
      <c r="L1018" s="39">
        <v>99.376999999999995</v>
      </c>
      <c r="M1018" s="4">
        <v>4968850</v>
      </c>
      <c r="N1018" s="4">
        <v>5000000</v>
      </c>
      <c r="O1018" s="4">
        <v>4952809</v>
      </c>
      <c r="P1018" s="4">
        <v>0</v>
      </c>
      <c r="Q1018" s="4">
        <v>7587</v>
      </c>
      <c r="R1018" s="4">
        <v>0</v>
      </c>
      <c r="S1018" s="4">
        <v>0</v>
      </c>
      <c r="T1018" s="23">
        <v>1.7170000000000001</v>
      </c>
      <c r="U1018" s="23">
        <v>1.895</v>
      </c>
      <c r="V1018" s="5" t="s">
        <v>3432</v>
      </c>
      <c r="W1018" s="4">
        <v>18600</v>
      </c>
      <c r="X1018" s="4">
        <v>143543</v>
      </c>
      <c r="Y1018" s="10">
        <v>43473</v>
      </c>
      <c r="Z1018" s="10">
        <v>48043</v>
      </c>
      <c r="AA1018" s="2"/>
      <c r="AB1018" s="63" t="s">
        <v>3840</v>
      </c>
      <c r="AC1018" s="5" t="s">
        <v>9</v>
      </c>
      <c r="AD1018" s="76" t="s">
        <v>1088</v>
      </c>
      <c r="AE1018" s="6"/>
      <c r="AF1018" s="23"/>
      <c r="AG1018" s="10">
        <v>46310</v>
      </c>
      <c r="AH1018" s="5" t="s">
        <v>3</v>
      </c>
      <c r="AI1018" s="5" t="s">
        <v>4111</v>
      </c>
      <c r="AJ1018" s="5" t="s">
        <v>928</v>
      </c>
      <c r="AK1018" s="16" t="s">
        <v>3</v>
      </c>
      <c r="AL1018" s="65" t="s">
        <v>3842</v>
      </c>
      <c r="AM1018" s="31" t="s">
        <v>2217</v>
      </c>
    </row>
    <row r="1019" spans="2:39" x14ac:dyDescent="0.25">
      <c r="B1019" s="18" t="s">
        <v>805</v>
      </c>
      <c r="C1019" s="44" t="s">
        <v>1096</v>
      </c>
      <c r="D1019" s="20" t="s">
        <v>468</v>
      </c>
      <c r="E1019" s="67" t="s">
        <v>3</v>
      </c>
      <c r="F1019" s="51" t="s">
        <v>1157</v>
      </c>
      <c r="G1019" s="37" t="s">
        <v>1987</v>
      </c>
      <c r="H1019" s="68" t="s">
        <v>2715</v>
      </c>
      <c r="I1019" s="62" t="s">
        <v>3310</v>
      </c>
      <c r="J1019" s="61" t="s">
        <v>250</v>
      </c>
      <c r="K1019" s="4">
        <v>5000000</v>
      </c>
      <c r="L1019" s="39">
        <v>99.543999999999997</v>
      </c>
      <c r="M1019" s="4">
        <v>4977200</v>
      </c>
      <c r="N1019" s="4">
        <v>5000000</v>
      </c>
      <c r="O1019" s="4">
        <v>5000000</v>
      </c>
      <c r="P1019" s="4">
        <v>0</v>
      </c>
      <c r="Q1019" s="4">
        <v>0</v>
      </c>
      <c r="R1019" s="4">
        <v>0</v>
      </c>
      <c r="S1019" s="4">
        <v>0</v>
      </c>
      <c r="T1019" s="23">
        <v>1.587</v>
      </c>
      <c r="U1019" s="23">
        <v>1.59</v>
      </c>
      <c r="V1019" s="5" t="s">
        <v>3432</v>
      </c>
      <c r="W1019" s="4">
        <v>17191</v>
      </c>
      <c r="X1019" s="4">
        <v>136255</v>
      </c>
      <c r="Y1019" s="10">
        <v>43007</v>
      </c>
      <c r="Z1019" s="10">
        <v>47771</v>
      </c>
      <c r="AA1019" s="2"/>
      <c r="AB1019" s="63" t="s">
        <v>3840</v>
      </c>
      <c r="AC1019" s="5" t="s">
        <v>9</v>
      </c>
      <c r="AD1019" s="76" t="s">
        <v>143</v>
      </c>
      <c r="AE1019" s="6"/>
      <c r="AF1019" s="23"/>
      <c r="AG1019" s="10">
        <v>45853</v>
      </c>
      <c r="AH1019" s="5" t="s">
        <v>3</v>
      </c>
      <c r="AI1019" s="5" t="s">
        <v>2987</v>
      </c>
      <c r="AJ1019" s="5" t="s">
        <v>928</v>
      </c>
      <c r="AK1019" s="16" t="s">
        <v>3</v>
      </c>
      <c r="AL1019" s="65" t="s">
        <v>3842</v>
      </c>
      <c r="AM1019" s="31" t="s">
        <v>2217</v>
      </c>
    </row>
    <row r="1020" spans="2:39" x14ac:dyDescent="0.25">
      <c r="B1020" s="18" t="s">
        <v>2633</v>
      </c>
      <c r="C1020" s="44" t="s">
        <v>1902</v>
      </c>
      <c r="D1020" s="20" t="s">
        <v>1903</v>
      </c>
      <c r="E1020" s="67" t="s">
        <v>3</v>
      </c>
      <c r="F1020" s="51" t="s">
        <v>1157</v>
      </c>
      <c r="G1020" s="37" t="s">
        <v>1256</v>
      </c>
      <c r="H1020" s="68" t="s">
        <v>2715</v>
      </c>
      <c r="I1020" s="62" t="s">
        <v>3310</v>
      </c>
      <c r="J1020" s="61" t="s">
        <v>250</v>
      </c>
      <c r="K1020" s="4">
        <v>10000000</v>
      </c>
      <c r="L1020" s="39">
        <v>100.401</v>
      </c>
      <c r="M1020" s="4">
        <v>10040100</v>
      </c>
      <c r="N1020" s="4">
        <v>10000000</v>
      </c>
      <c r="O1020" s="4">
        <v>10000000</v>
      </c>
      <c r="P1020" s="4">
        <v>0</v>
      </c>
      <c r="Q1020" s="4">
        <v>0</v>
      </c>
      <c r="R1020" s="4">
        <v>0</v>
      </c>
      <c r="S1020" s="4">
        <v>0</v>
      </c>
      <c r="T1020" s="23">
        <v>1.518</v>
      </c>
      <c r="U1020" s="23">
        <v>1.5209999999999999</v>
      </c>
      <c r="V1020" s="5" t="s">
        <v>3432</v>
      </c>
      <c r="W1020" s="4">
        <v>23619</v>
      </c>
      <c r="X1020" s="4">
        <v>0</v>
      </c>
      <c r="Y1020" s="10">
        <v>44099</v>
      </c>
      <c r="Z1020" s="10">
        <v>48141</v>
      </c>
      <c r="AA1020" s="2"/>
      <c r="AB1020" s="63" t="s">
        <v>3840</v>
      </c>
      <c r="AC1020" s="5" t="s">
        <v>9</v>
      </c>
      <c r="AD1020" s="76" t="s">
        <v>1088</v>
      </c>
      <c r="AE1020" s="10">
        <v>44489</v>
      </c>
      <c r="AF1020" s="23">
        <v>100</v>
      </c>
      <c r="AG1020" s="10">
        <v>46315</v>
      </c>
      <c r="AH1020" s="5" t="s">
        <v>3</v>
      </c>
      <c r="AI1020" s="5" t="s">
        <v>1541</v>
      </c>
      <c r="AJ1020" s="5" t="s">
        <v>928</v>
      </c>
      <c r="AK1020" s="16" t="s">
        <v>3</v>
      </c>
      <c r="AL1020" s="65" t="s">
        <v>3842</v>
      </c>
      <c r="AM1020" s="31" t="s">
        <v>2217</v>
      </c>
    </row>
    <row r="1021" spans="2:39" x14ac:dyDescent="0.25">
      <c r="B1021" s="7" t="s">
        <v>2713</v>
      </c>
      <c r="C1021" s="1" t="s">
        <v>2713</v>
      </c>
      <c r="D1021" s="8" t="s">
        <v>2713</v>
      </c>
      <c r="E1021" s="1" t="s">
        <v>2713</v>
      </c>
      <c r="F1021" s="1" t="s">
        <v>2713</v>
      </c>
      <c r="G1021" s="1" t="s">
        <v>2713</v>
      </c>
      <c r="H1021" s="1" t="s">
        <v>2713</v>
      </c>
      <c r="I1021" s="1" t="s">
        <v>2713</v>
      </c>
      <c r="J1021" s="1" t="s">
        <v>2713</v>
      </c>
      <c r="K1021" s="1" t="s">
        <v>2713</v>
      </c>
      <c r="L1021" s="1" t="s">
        <v>2713</v>
      </c>
      <c r="M1021" s="1" t="s">
        <v>2713</v>
      </c>
      <c r="N1021" s="1" t="s">
        <v>2713</v>
      </c>
      <c r="O1021" s="1" t="s">
        <v>2713</v>
      </c>
      <c r="P1021" s="1" t="s">
        <v>2713</v>
      </c>
      <c r="Q1021" s="1" t="s">
        <v>2713</v>
      </c>
      <c r="R1021" s="1" t="s">
        <v>2713</v>
      </c>
      <c r="S1021" s="1" t="s">
        <v>2713</v>
      </c>
      <c r="T1021" s="1" t="s">
        <v>2713</v>
      </c>
      <c r="U1021" s="1" t="s">
        <v>2713</v>
      </c>
      <c r="V1021" s="1" t="s">
        <v>2713</v>
      </c>
      <c r="W1021" s="1" t="s">
        <v>2713</v>
      </c>
      <c r="X1021" s="1" t="s">
        <v>2713</v>
      </c>
      <c r="Y1021" s="1" t="s">
        <v>2713</v>
      </c>
      <c r="Z1021" s="1" t="s">
        <v>2713</v>
      </c>
      <c r="AA1021" s="1" t="s">
        <v>2713</v>
      </c>
      <c r="AB1021" s="1" t="s">
        <v>2713</v>
      </c>
      <c r="AC1021" s="1" t="s">
        <v>2713</v>
      </c>
      <c r="AD1021" s="1" t="s">
        <v>2713</v>
      </c>
      <c r="AE1021" s="1" t="s">
        <v>2713</v>
      </c>
      <c r="AF1021" s="1" t="s">
        <v>2713</v>
      </c>
      <c r="AG1021" s="1" t="s">
        <v>2713</v>
      </c>
      <c r="AH1021" s="1" t="s">
        <v>2713</v>
      </c>
      <c r="AI1021" s="1" t="s">
        <v>2713</v>
      </c>
      <c r="AJ1021" s="1" t="s">
        <v>2713</v>
      </c>
      <c r="AK1021" s="1" t="s">
        <v>2713</v>
      </c>
      <c r="AL1021" s="1" t="s">
        <v>2713</v>
      </c>
      <c r="AM1021" s="1" t="s">
        <v>2713</v>
      </c>
    </row>
    <row r="1022" spans="2:39" ht="69" x14ac:dyDescent="0.25">
      <c r="B1022" s="21" t="s">
        <v>4112</v>
      </c>
      <c r="C1022" s="19" t="s">
        <v>1285</v>
      </c>
      <c r="D1022" s="17"/>
      <c r="E1022" s="2"/>
      <c r="F1022" s="2"/>
      <c r="G1022" s="2"/>
      <c r="H1022" s="2"/>
      <c r="I1022" s="2"/>
      <c r="J1022" s="2"/>
      <c r="K1022" s="3">
        <f>SUM('GMIC_2020-Annu_SCDPT1'!SCDPT1_35BEGIN_7:'GMIC_2020-Annu_SCDPT1'!SCDPT1_35ENDIN_7)</f>
        <v>1196513025</v>
      </c>
      <c r="L1022" s="2"/>
      <c r="M1022" s="3">
        <f>SUM('GMIC_2020-Annu_SCDPT1'!SCDPT1_35BEGIN_9:'GMIC_2020-Annu_SCDPT1'!SCDPT1_35ENDIN_9)</f>
        <v>1217625919</v>
      </c>
      <c r="N1022" s="3">
        <f>SUM('GMIC_2020-Annu_SCDPT1'!SCDPT1_35BEGIN_10:'GMIC_2020-Annu_SCDPT1'!SCDPT1_35ENDIN_10)</f>
        <v>1196181472</v>
      </c>
      <c r="O1022" s="3">
        <f>SUM('GMIC_2020-Annu_SCDPT1'!SCDPT1_35BEGIN_11:'GMIC_2020-Annu_SCDPT1'!SCDPT1_35ENDIN_11)</f>
        <v>1196691020</v>
      </c>
      <c r="P1022" s="3">
        <f>SUM('GMIC_2020-Annu_SCDPT1'!SCDPT1_35BEGIN_12:'GMIC_2020-Annu_SCDPT1'!SCDPT1_35ENDIN_12)</f>
        <v>0</v>
      </c>
      <c r="Q1022" s="3">
        <f>SUM('GMIC_2020-Annu_SCDPT1'!SCDPT1_35BEGIN_13:'GMIC_2020-Annu_SCDPT1'!SCDPT1_35ENDIN_13)</f>
        <v>51214</v>
      </c>
      <c r="R1022" s="3">
        <f>SUM('GMIC_2020-Annu_SCDPT1'!SCDPT1_35BEGIN_14:'GMIC_2020-Annu_SCDPT1'!SCDPT1_35ENDIN_14)</f>
        <v>0</v>
      </c>
      <c r="S1022" s="3">
        <f>SUM('GMIC_2020-Annu_SCDPT1'!SCDPT1_35BEGIN_15:'GMIC_2020-Annu_SCDPT1'!SCDPT1_35ENDIN_15)</f>
        <v>0</v>
      </c>
      <c r="T1022" s="2"/>
      <c r="U1022" s="2"/>
      <c r="V1022" s="2"/>
      <c r="W1022" s="3">
        <f>SUM('GMIC_2020-Annu_SCDPT1'!SCDPT1_35BEGIN_19:'GMIC_2020-Annu_SCDPT1'!SCDPT1_35ENDIN_19)</f>
        <v>1925497</v>
      </c>
      <c r="X1022" s="3">
        <f>SUM('GMIC_2020-Annu_SCDPT1'!SCDPT1_35BEGIN_20:'GMIC_2020-Annu_SCDPT1'!SCDPT1_35ENDIN_20)</f>
        <v>23049193</v>
      </c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</row>
    <row r="1023" spans="2:39" ht="41.4" x14ac:dyDescent="0.25">
      <c r="B1023" s="21" t="s">
        <v>1542</v>
      </c>
      <c r="C1023" s="19" t="s">
        <v>3745</v>
      </c>
      <c r="D1023" s="17"/>
      <c r="E1023" s="2"/>
      <c r="F1023" s="2"/>
      <c r="G1023" s="2"/>
      <c r="H1023" s="2"/>
      <c r="I1023" s="2"/>
      <c r="J1023" s="2"/>
      <c r="K1023" s="3">
        <f>'GMIC_2020-Annu_SCDPT1'!SCDPT1_3299999_7+'GMIC_2020-Annu_SCDPT1'!SCDPT1_3399999_7+'GMIC_2020-Annu_SCDPT1'!SCDPT1_3499999_7+'GMIC_2020-Annu_SCDPT1'!SCDPT1_3599999_7</f>
        <v>4432929327</v>
      </c>
      <c r="L1023" s="2"/>
      <c r="M1023" s="3">
        <f>'GMIC_2020-Annu_SCDPT1'!SCDPT1_3299999_9+'GMIC_2020-Annu_SCDPT1'!SCDPT1_3399999_9+'GMIC_2020-Annu_SCDPT1'!SCDPT1_3499999_9+'GMIC_2020-Annu_SCDPT1'!SCDPT1_3599999_9</f>
        <v>4671740965</v>
      </c>
      <c r="N1023" s="3">
        <f>'GMIC_2020-Annu_SCDPT1'!SCDPT1_3299999_10+'GMIC_2020-Annu_SCDPT1'!SCDPT1_3399999_10+'GMIC_2020-Annu_SCDPT1'!SCDPT1_3499999_10+'GMIC_2020-Annu_SCDPT1'!SCDPT1_3599999_10</f>
        <v>4420583133</v>
      </c>
      <c r="O1023" s="3">
        <f>'GMIC_2020-Annu_SCDPT1'!SCDPT1_3299999_11+'GMIC_2020-Annu_SCDPT1'!SCDPT1_3399999_11+'GMIC_2020-Annu_SCDPT1'!SCDPT1_3499999_11+'GMIC_2020-Annu_SCDPT1'!SCDPT1_3599999_11</f>
        <v>4428994354</v>
      </c>
      <c r="P1023" s="3">
        <f>'GMIC_2020-Annu_SCDPT1'!SCDPT1_3299999_12+'GMIC_2020-Annu_SCDPT1'!SCDPT1_3399999_12+'GMIC_2020-Annu_SCDPT1'!SCDPT1_3499999_12+'GMIC_2020-Annu_SCDPT1'!SCDPT1_3599999_12</f>
        <v>-2180815</v>
      </c>
      <c r="Q1023" s="3">
        <f>'GMIC_2020-Annu_SCDPT1'!SCDPT1_3299999_13+'GMIC_2020-Annu_SCDPT1'!SCDPT1_3399999_13+'GMIC_2020-Annu_SCDPT1'!SCDPT1_3499999_13+'GMIC_2020-Annu_SCDPT1'!SCDPT1_3599999_13</f>
        <v>-930958</v>
      </c>
      <c r="R1023" s="3">
        <f>'GMIC_2020-Annu_SCDPT1'!SCDPT1_3299999_14+'GMIC_2020-Annu_SCDPT1'!SCDPT1_3399999_14+'GMIC_2020-Annu_SCDPT1'!SCDPT1_3499999_14+'GMIC_2020-Annu_SCDPT1'!SCDPT1_3599999_14</f>
        <v>0</v>
      </c>
      <c r="S1023" s="3">
        <f>'GMIC_2020-Annu_SCDPT1'!SCDPT1_3299999_15+'GMIC_2020-Annu_SCDPT1'!SCDPT1_3399999_15+'GMIC_2020-Annu_SCDPT1'!SCDPT1_3499999_15+'GMIC_2020-Annu_SCDPT1'!SCDPT1_3599999_15</f>
        <v>0</v>
      </c>
      <c r="T1023" s="2"/>
      <c r="U1023" s="2"/>
      <c r="V1023" s="2"/>
      <c r="W1023" s="3">
        <f>'GMIC_2020-Annu_SCDPT1'!SCDPT1_3299999_19+'GMIC_2020-Annu_SCDPT1'!SCDPT1_3399999_19+'GMIC_2020-Annu_SCDPT1'!SCDPT1_3499999_19+'GMIC_2020-Annu_SCDPT1'!SCDPT1_3599999_19</f>
        <v>27559689</v>
      </c>
      <c r="X1023" s="3">
        <f>'GMIC_2020-Annu_SCDPT1'!SCDPT1_3299999_20+'GMIC_2020-Annu_SCDPT1'!SCDPT1_3399999_20+'GMIC_2020-Annu_SCDPT1'!SCDPT1_3499999_20+'GMIC_2020-Annu_SCDPT1'!SCDPT1_3599999_20</f>
        <v>105256573</v>
      </c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</row>
    <row r="1024" spans="2:39" x14ac:dyDescent="0.25">
      <c r="B1024" s="7" t="s">
        <v>2713</v>
      </c>
      <c r="C1024" s="1" t="s">
        <v>2713</v>
      </c>
      <c r="D1024" s="8" t="s">
        <v>2713</v>
      </c>
      <c r="E1024" s="1" t="s">
        <v>2713</v>
      </c>
      <c r="F1024" s="1" t="s">
        <v>2713</v>
      </c>
      <c r="G1024" s="1" t="s">
        <v>2713</v>
      </c>
      <c r="H1024" s="1" t="s">
        <v>2713</v>
      </c>
      <c r="I1024" s="1" t="s">
        <v>2713</v>
      </c>
      <c r="J1024" s="1" t="s">
        <v>2713</v>
      </c>
      <c r="K1024" s="1" t="s">
        <v>2713</v>
      </c>
      <c r="L1024" s="1" t="s">
        <v>2713</v>
      </c>
      <c r="M1024" s="1" t="s">
        <v>2713</v>
      </c>
      <c r="N1024" s="1" t="s">
        <v>2713</v>
      </c>
      <c r="O1024" s="1" t="s">
        <v>2713</v>
      </c>
      <c r="P1024" s="1" t="s">
        <v>2713</v>
      </c>
      <c r="Q1024" s="1" t="s">
        <v>2713</v>
      </c>
      <c r="R1024" s="1" t="s">
        <v>2713</v>
      </c>
      <c r="S1024" s="1" t="s">
        <v>2713</v>
      </c>
      <c r="T1024" s="1" t="s">
        <v>2713</v>
      </c>
      <c r="U1024" s="1" t="s">
        <v>2713</v>
      </c>
      <c r="V1024" s="1" t="s">
        <v>2713</v>
      </c>
      <c r="W1024" s="1" t="s">
        <v>2713</v>
      </c>
      <c r="X1024" s="1" t="s">
        <v>2713</v>
      </c>
      <c r="Y1024" s="1" t="s">
        <v>2713</v>
      </c>
      <c r="Z1024" s="1" t="s">
        <v>2713</v>
      </c>
      <c r="AA1024" s="1" t="s">
        <v>2713</v>
      </c>
      <c r="AB1024" s="1" t="s">
        <v>2713</v>
      </c>
      <c r="AC1024" s="1" t="s">
        <v>2713</v>
      </c>
      <c r="AD1024" s="1" t="s">
        <v>2713</v>
      </c>
      <c r="AE1024" s="1" t="s">
        <v>2713</v>
      </c>
      <c r="AF1024" s="1" t="s">
        <v>2713</v>
      </c>
      <c r="AG1024" s="1" t="s">
        <v>2713</v>
      </c>
      <c r="AH1024" s="1" t="s">
        <v>2713</v>
      </c>
      <c r="AI1024" s="1" t="s">
        <v>2713</v>
      </c>
      <c r="AJ1024" s="1" t="s">
        <v>2713</v>
      </c>
      <c r="AK1024" s="1" t="s">
        <v>2713</v>
      </c>
      <c r="AL1024" s="1" t="s">
        <v>2713</v>
      </c>
      <c r="AM1024" s="1" t="s">
        <v>2713</v>
      </c>
    </row>
    <row r="1025" spans="2:39" x14ac:dyDescent="0.25">
      <c r="B1025" s="18" t="s">
        <v>2988</v>
      </c>
      <c r="C1025" s="25" t="s">
        <v>3846</v>
      </c>
      <c r="D1025" s="20" t="s">
        <v>3</v>
      </c>
      <c r="E1025" s="38" t="s">
        <v>3</v>
      </c>
      <c r="F1025" s="22" t="s">
        <v>3</v>
      </c>
      <c r="G1025" s="37" t="s">
        <v>3</v>
      </c>
      <c r="H1025" s="33" t="s">
        <v>3</v>
      </c>
      <c r="I1025" s="34" t="s">
        <v>3</v>
      </c>
      <c r="J1025" s="36" t="s">
        <v>3</v>
      </c>
      <c r="K1025" s="4"/>
      <c r="L1025" s="39"/>
      <c r="M1025" s="4"/>
      <c r="N1025" s="4"/>
      <c r="O1025" s="4"/>
      <c r="P1025" s="4"/>
      <c r="Q1025" s="4"/>
      <c r="R1025" s="4"/>
      <c r="S1025" s="4"/>
      <c r="T1025" s="23"/>
      <c r="U1025" s="23"/>
      <c r="V1025" s="5" t="s">
        <v>3</v>
      </c>
      <c r="W1025" s="4"/>
      <c r="X1025" s="4"/>
      <c r="Y1025" s="6"/>
      <c r="Z1025" s="6"/>
      <c r="AA1025" s="2"/>
      <c r="AB1025" s="29" t="s">
        <v>3</v>
      </c>
      <c r="AC1025" s="5" t="s">
        <v>3</v>
      </c>
      <c r="AD1025" s="2"/>
      <c r="AE1025" s="6"/>
      <c r="AF1025" s="23"/>
      <c r="AG1025" s="6"/>
      <c r="AH1025" s="5" t="s">
        <v>3</v>
      </c>
      <c r="AI1025" s="5" t="s">
        <v>3</v>
      </c>
      <c r="AJ1025" s="5" t="s">
        <v>3</v>
      </c>
      <c r="AK1025" s="16" t="s">
        <v>3</v>
      </c>
      <c r="AL1025" s="40" t="s">
        <v>3</v>
      </c>
      <c r="AM1025" s="31" t="s">
        <v>3</v>
      </c>
    </row>
    <row r="1026" spans="2:39" x14ac:dyDescent="0.25">
      <c r="B1026" s="7" t="s">
        <v>2713</v>
      </c>
      <c r="C1026" s="1" t="s">
        <v>2713</v>
      </c>
      <c r="D1026" s="8" t="s">
        <v>2713</v>
      </c>
      <c r="E1026" s="1" t="s">
        <v>2713</v>
      </c>
      <c r="F1026" s="1" t="s">
        <v>2713</v>
      </c>
      <c r="G1026" s="1" t="s">
        <v>2713</v>
      </c>
      <c r="H1026" s="1" t="s">
        <v>2713</v>
      </c>
      <c r="I1026" s="1" t="s">
        <v>2713</v>
      </c>
      <c r="J1026" s="1" t="s">
        <v>2713</v>
      </c>
      <c r="K1026" s="1" t="s">
        <v>2713</v>
      </c>
      <c r="L1026" s="1" t="s">
        <v>2713</v>
      </c>
      <c r="M1026" s="1" t="s">
        <v>2713</v>
      </c>
      <c r="N1026" s="1" t="s">
        <v>2713</v>
      </c>
      <c r="O1026" s="1" t="s">
        <v>2713</v>
      </c>
      <c r="P1026" s="1" t="s">
        <v>2713</v>
      </c>
      <c r="Q1026" s="1" t="s">
        <v>2713</v>
      </c>
      <c r="R1026" s="1" t="s">
        <v>2713</v>
      </c>
      <c r="S1026" s="1" t="s">
        <v>2713</v>
      </c>
      <c r="T1026" s="1" t="s">
        <v>2713</v>
      </c>
      <c r="U1026" s="1" t="s">
        <v>2713</v>
      </c>
      <c r="V1026" s="1" t="s">
        <v>2713</v>
      </c>
      <c r="W1026" s="1" t="s">
        <v>2713</v>
      </c>
      <c r="X1026" s="1" t="s">
        <v>2713</v>
      </c>
      <c r="Y1026" s="1" t="s">
        <v>2713</v>
      </c>
      <c r="Z1026" s="1" t="s">
        <v>2713</v>
      </c>
      <c r="AA1026" s="1" t="s">
        <v>2713</v>
      </c>
      <c r="AB1026" s="1" t="s">
        <v>2713</v>
      </c>
      <c r="AC1026" s="1" t="s">
        <v>2713</v>
      </c>
      <c r="AD1026" s="1" t="s">
        <v>2713</v>
      </c>
      <c r="AE1026" s="1" t="s">
        <v>2713</v>
      </c>
      <c r="AF1026" s="1" t="s">
        <v>2713</v>
      </c>
      <c r="AG1026" s="1" t="s">
        <v>2713</v>
      </c>
      <c r="AH1026" s="1" t="s">
        <v>2713</v>
      </c>
      <c r="AI1026" s="1" t="s">
        <v>2713</v>
      </c>
      <c r="AJ1026" s="1" t="s">
        <v>2713</v>
      </c>
      <c r="AK1026" s="1" t="s">
        <v>2713</v>
      </c>
      <c r="AL1026" s="1" t="s">
        <v>2713</v>
      </c>
      <c r="AM1026" s="1" t="s">
        <v>2713</v>
      </c>
    </row>
    <row r="1027" spans="2:39" ht="27.6" x14ac:dyDescent="0.25">
      <c r="B1027" s="21" t="s">
        <v>178</v>
      </c>
      <c r="C1027" s="19" t="s">
        <v>1543</v>
      </c>
      <c r="D1027" s="17"/>
      <c r="E1027" s="2"/>
      <c r="F1027" s="2"/>
      <c r="G1027" s="2"/>
      <c r="H1027" s="2"/>
      <c r="I1027" s="2"/>
      <c r="J1027" s="2"/>
      <c r="K1027" s="3">
        <f>SUM('GMIC_2020-Annu_SCDPT1'!SCDPT1_42BEGIN_7:'GMIC_2020-Annu_SCDPT1'!SCDPT1_42ENDIN_7)</f>
        <v>0</v>
      </c>
      <c r="L1027" s="2"/>
      <c r="M1027" s="3">
        <f>SUM('GMIC_2020-Annu_SCDPT1'!SCDPT1_42BEGIN_9:'GMIC_2020-Annu_SCDPT1'!SCDPT1_42ENDIN_9)</f>
        <v>0</v>
      </c>
      <c r="N1027" s="3">
        <f>SUM('GMIC_2020-Annu_SCDPT1'!SCDPT1_42BEGIN_10:'GMIC_2020-Annu_SCDPT1'!SCDPT1_42ENDIN_10)</f>
        <v>0</v>
      </c>
      <c r="O1027" s="3">
        <f>SUM('GMIC_2020-Annu_SCDPT1'!SCDPT1_42BEGIN_11:'GMIC_2020-Annu_SCDPT1'!SCDPT1_42ENDIN_11)</f>
        <v>0</v>
      </c>
      <c r="P1027" s="3">
        <f>SUM('GMIC_2020-Annu_SCDPT1'!SCDPT1_42BEGIN_12:'GMIC_2020-Annu_SCDPT1'!SCDPT1_42ENDIN_12)</f>
        <v>0</v>
      </c>
      <c r="Q1027" s="3">
        <f>SUM('GMIC_2020-Annu_SCDPT1'!SCDPT1_42BEGIN_13:'GMIC_2020-Annu_SCDPT1'!SCDPT1_42ENDIN_13)</f>
        <v>0</v>
      </c>
      <c r="R1027" s="3">
        <f>SUM('GMIC_2020-Annu_SCDPT1'!SCDPT1_42BEGIN_14:'GMIC_2020-Annu_SCDPT1'!SCDPT1_42ENDIN_14)</f>
        <v>0</v>
      </c>
      <c r="S1027" s="3">
        <f>SUM('GMIC_2020-Annu_SCDPT1'!SCDPT1_42BEGIN_15:'GMIC_2020-Annu_SCDPT1'!SCDPT1_42ENDIN_15)</f>
        <v>0</v>
      </c>
      <c r="T1027" s="2"/>
      <c r="U1027" s="2"/>
      <c r="V1027" s="2"/>
      <c r="W1027" s="3">
        <f>SUM('GMIC_2020-Annu_SCDPT1'!SCDPT1_42BEGIN_19:'GMIC_2020-Annu_SCDPT1'!SCDPT1_42ENDIN_19)</f>
        <v>0</v>
      </c>
      <c r="X1027" s="3">
        <f>SUM('GMIC_2020-Annu_SCDPT1'!SCDPT1_42BEGIN_20:'GMIC_2020-Annu_SCDPT1'!SCDPT1_42ENDIN_20)</f>
        <v>0</v>
      </c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</row>
    <row r="1028" spans="2:39" x14ac:dyDescent="0.25">
      <c r="B1028" s="7" t="s">
        <v>2713</v>
      </c>
      <c r="C1028" s="1" t="s">
        <v>2713</v>
      </c>
      <c r="D1028" s="8" t="s">
        <v>2713</v>
      </c>
      <c r="E1028" s="1" t="s">
        <v>2713</v>
      </c>
      <c r="F1028" s="1" t="s">
        <v>2713</v>
      </c>
      <c r="G1028" s="1" t="s">
        <v>2713</v>
      </c>
      <c r="H1028" s="1" t="s">
        <v>2713</v>
      </c>
      <c r="I1028" s="1" t="s">
        <v>2713</v>
      </c>
      <c r="J1028" s="1" t="s">
        <v>2713</v>
      </c>
      <c r="K1028" s="1" t="s">
        <v>2713</v>
      </c>
      <c r="L1028" s="1" t="s">
        <v>2713</v>
      </c>
      <c r="M1028" s="1" t="s">
        <v>2713</v>
      </c>
      <c r="N1028" s="1" t="s">
        <v>2713</v>
      </c>
      <c r="O1028" s="1" t="s">
        <v>2713</v>
      </c>
      <c r="P1028" s="1" t="s">
        <v>2713</v>
      </c>
      <c r="Q1028" s="1" t="s">
        <v>2713</v>
      </c>
      <c r="R1028" s="1" t="s">
        <v>2713</v>
      </c>
      <c r="S1028" s="1" t="s">
        <v>2713</v>
      </c>
      <c r="T1028" s="1" t="s">
        <v>2713</v>
      </c>
      <c r="U1028" s="1" t="s">
        <v>2713</v>
      </c>
      <c r="V1028" s="1" t="s">
        <v>2713</v>
      </c>
      <c r="W1028" s="1" t="s">
        <v>2713</v>
      </c>
      <c r="X1028" s="1" t="s">
        <v>2713</v>
      </c>
      <c r="Y1028" s="1" t="s">
        <v>2713</v>
      </c>
      <c r="Z1028" s="1" t="s">
        <v>2713</v>
      </c>
      <c r="AA1028" s="1" t="s">
        <v>2713</v>
      </c>
      <c r="AB1028" s="1" t="s">
        <v>2713</v>
      </c>
      <c r="AC1028" s="1" t="s">
        <v>2713</v>
      </c>
      <c r="AD1028" s="1" t="s">
        <v>2713</v>
      </c>
      <c r="AE1028" s="1" t="s">
        <v>2713</v>
      </c>
      <c r="AF1028" s="1" t="s">
        <v>2713</v>
      </c>
      <c r="AG1028" s="1" t="s">
        <v>2713</v>
      </c>
      <c r="AH1028" s="1" t="s">
        <v>2713</v>
      </c>
      <c r="AI1028" s="1" t="s">
        <v>2713</v>
      </c>
      <c r="AJ1028" s="1" t="s">
        <v>2713</v>
      </c>
      <c r="AK1028" s="1" t="s">
        <v>2713</v>
      </c>
      <c r="AL1028" s="1" t="s">
        <v>2713</v>
      </c>
      <c r="AM1028" s="1" t="s">
        <v>2713</v>
      </c>
    </row>
    <row r="1029" spans="2:39" x14ac:dyDescent="0.25">
      <c r="B1029" s="18" t="s">
        <v>2368</v>
      </c>
      <c r="C1029" s="25" t="s">
        <v>3846</v>
      </c>
      <c r="D1029" s="20" t="s">
        <v>3</v>
      </c>
      <c r="E1029" s="38" t="s">
        <v>3</v>
      </c>
      <c r="F1029" s="22" t="s">
        <v>3</v>
      </c>
      <c r="G1029" s="37" t="s">
        <v>3</v>
      </c>
      <c r="H1029" s="33" t="s">
        <v>3</v>
      </c>
      <c r="I1029" s="34" t="s">
        <v>3</v>
      </c>
      <c r="J1029" s="36" t="s">
        <v>3</v>
      </c>
      <c r="K1029" s="4"/>
      <c r="L1029" s="39"/>
      <c r="M1029" s="4"/>
      <c r="N1029" s="4"/>
      <c r="O1029" s="4"/>
      <c r="P1029" s="4"/>
      <c r="Q1029" s="4"/>
      <c r="R1029" s="4"/>
      <c r="S1029" s="4"/>
      <c r="T1029" s="23"/>
      <c r="U1029" s="23"/>
      <c r="V1029" s="5" t="s">
        <v>3</v>
      </c>
      <c r="W1029" s="4"/>
      <c r="X1029" s="4"/>
      <c r="Y1029" s="6"/>
      <c r="Z1029" s="6"/>
      <c r="AA1029" s="2"/>
      <c r="AB1029" s="29" t="s">
        <v>3</v>
      </c>
      <c r="AC1029" s="5" t="s">
        <v>3</v>
      </c>
      <c r="AD1029" s="2"/>
      <c r="AE1029" s="6"/>
      <c r="AF1029" s="23"/>
      <c r="AG1029" s="6"/>
      <c r="AH1029" s="5" t="s">
        <v>3</v>
      </c>
      <c r="AI1029" s="5" t="s">
        <v>3</v>
      </c>
      <c r="AJ1029" s="5" t="s">
        <v>3</v>
      </c>
      <c r="AK1029" s="16" t="s">
        <v>3</v>
      </c>
      <c r="AL1029" s="40" t="s">
        <v>3</v>
      </c>
      <c r="AM1029" s="31" t="s">
        <v>3</v>
      </c>
    </row>
    <row r="1030" spans="2:39" x14ac:dyDescent="0.25">
      <c r="B1030" s="7" t="s">
        <v>2713</v>
      </c>
      <c r="C1030" s="1" t="s">
        <v>2713</v>
      </c>
      <c r="D1030" s="8" t="s">
        <v>2713</v>
      </c>
      <c r="E1030" s="1" t="s">
        <v>2713</v>
      </c>
      <c r="F1030" s="1" t="s">
        <v>2713</v>
      </c>
      <c r="G1030" s="1" t="s">
        <v>2713</v>
      </c>
      <c r="H1030" s="1" t="s">
        <v>2713</v>
      </c>
      <c r="I1030" s="1" t="s">
        <v>2713</v>
      </c>
      <c r="J1030" s="1" t="s">
        <v>2713</v>
      </c>
      <c r="K1030" s="1" t="s">
        <v>2713</v>
      </c>
      <c r="L1030" s="1" t="s">
        <v>2713</v>
      </c>
      <c r="M1030" s="1" t="s">
        <v>2713</v>
      </c>
      <c r="N1030" s="1" t="s">
        <v>2713</v>
      </c>
      <c r="O1030" s="1" t="s">
        <v>2713</v>
      </c>
      <c r="P1030" s="1" t="s">
        <v>2713</v>
      </c>
      <c r="Q1030" s="1" t="s">
        <v>2713</v>
      </c>
      <c r="R1030" s="1" t="s">
        <v>2713</v>
      </c>
      <c r="S1030" s="1" t="s">
        <v>2713</v>
      </c>
      <c r="T1030" s="1" t="s">
        <v>2713</v>
      </c>
      <c r="U1030" s="1" t="s">
        <v>2713</v>
      </c>
      <c r="V1030" s="1" t="s">
        <v>2713</v>
      </c>
      <c r="W1030" s="1" t="s">
        <v>2713</v>
      </c>
      <c r="X1030" s="1" t="s">
        <v>2713</v>
      </c>
      <c r="Y1030" s="1" t="s">
        <v>2713</v>
      </c>
      <c r="Z1030" s="1" t="s">
        <v>2713</v>
      </c>
      <c r="AA1030" s="1" t="s">
        <v>2713</v>
      </c>
      <c r="AB1030" s="1" t="s">
        <v>2713</v>
      </c>
      <c r="AC1030" s="1" t="s">
        <v>2713</v>
      </c>
      <c r="AD1030" s="1" t="s">
        <v>2713</v>
      </c>
      <c r="AE1030" s="1" t="s">
        <v>2713</v>
      </c>
      <c r="AF1030" s="1" t="s">
        <v>2713</v>
      </c>
      <c r="AG1030" s="1" t="s">
        <v>2713</v>
      </c>
      <c r="AH1030" s="1" t="s">
        <v>2713</v>
      </c>
      <c r="AI1030" s="1" t="s">
        <v>2713</v>
      </c>
      <c r="AJ1030" s="1" t="s">
        <v>2713</v>
      </c>
      <c r="AK1030" s="1" t="s">
        <v>2713</v>
      </c>
      <c r="AL1030" s="1" t="s">
        <v>2713</v>
      </c>
      <c r="AM1030" s="1" t="s">
        <v>2713</v>
      </c>
    </row>
    <row r="1031" spans="2:39" ht="41.4" x14ac:dyDescent="0.25">
      <c r="B1031" s="21" t="s">
        <v>3746</v>
      </c>
      <c r="C1031" s="19" t="s">
        <v>2634</v>
      </c>
      <c r="D1031" s="17"/>
      <c r="E1031" s="2"/>
      <c r="F1031" s="2"/>
      <c r="G1031" s="2"/>
      <c r="H1031" s="2"/>
      <c r="I1031" s="2"/>
      <c r="J1031" s="2"/>
      <c r="K1031" s="3">
        <f>SUM('GMIC_2020-Annu_SCDPT1'!SCDPT1_43BEGIN_7:'GMIC_2020-Annu_SCDPT1'!SCDPT1_43ENDIN_7)</f>
        <v>0</v>
      </c>
      <c r="L1031" s="2"/>
      <c r="M1031" s="3">
        <f>SUM('GMIC_2020-Annu_SCDPT1'!SCDPT1_43BEGIN_9:'GMIC_2020-Annu_SCDPT1'!SCDPT1_43ENDIN_9)</f>
        <v>0</v>
      </c>
      <c r="N1031" s="3">
        <f>SUM('GMIC_2020-Annu_SCDPT1'!SCDPT1_43BEGIN_10:'GMIC_2020-Annu_SCDPT1'!SCDPT1_43ENDIN_10)</f>
        <v>0</v>
      </c>
      <c r="O1031" s="3">
        <f>SUM('GMIC_2020-Annu_SCDPT1'!SCDPT1_43BEGIN_11:'GMIC_2020-Annu_SCDPT1'!SCDPT1_43ENDIN_11)</f>
        <v>0</v>
      </c>
      <c r="P1031" s="3">
        <f>SUM('GMIC_2020-Annu_SCDPT1'!SCDPT1_43BEGIN_12:'GMIC_2020-Annu_SCDPT1'!SCDPT1_43ENDIN_12)</f>
        <v>0</v>
      </c>
      <c r="Q1031" s="3">
        <f>SUM('GMIC_2020-Annu_SCDPT1'!SCDPT1_43BEGIN_13:'GMIC_2020-Annu_SCDPT1'!SCDPT1_43ENDIN_13)</f>
        <v>0</v>
      </c>
      <c r="R1031" s="3">
        <f>SUM('GMIC_2020-Annu_SCDPT1'!SCDPT1_43BEGIN_14:'GMIC_2020-Annu_SCDPT1'!SCDPT1_43ENDIN_14)</f>
        <v>0</v>
      </c>
      <c r="S1031" s="3">
        <f>SUM('GMIC_2020-Annu_SCDPT1'!SCDPT1_43BEGIN_15:'GMIC_2020-Annu_SCDPT1'!SCDPT1_43ENDIN_15)</f>
        <v>0</v>
      </c>
      <c r="T1031" s="2"/>
      <c r="U1031" s="2"/>
      <c r="V1031" s="2"/>
      <c r="W1031" s="3">
        <f>SUM('GMIC_2020-Annu_SCDPT1'!SCDPT1_43BEGIN_19:'GMIC_2020-Annu_SCDPT1'!SCDPT1_43ENDIN_19)</f>
        <v>0</v>
      </c>
      <c r="X1031" s="3">
        <f>SUM('GMIC_2020-Annu_SCDPT1'!SCDPT1_43BEGIN_20:'GMIC_2020-Annu_SCDPT1'!SCDPT1_43ENDIN_20)</f>
        <v>0</v>
      </c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</row>
    <row r="1032" spans="2:39" x14ac:dyDescent="0.25">
      <c r="B1032" s="7" t="s">
        <v>2713</v>
      </c>
      <c r="C1032" s="1" t="s">
        <v>2713</v>
      </c>
      <c r="D1032" s="8" t="s">
        <v>2713</v>
      </c>
      <c r="E1032" s="1" t="s">
        <v>2713</v>
      </c>
      <c r="F1032" s="1" t="s">
        <v>2713</v>
      </c>
      <c r="G1032" s="1" t="s">
        <v>2713</v>
      </c>
      <c r="H1032" s="1" t="s">
        <v>2713</v>
      </c>
      <c r="I1032" s="1" t="s">
        <v>2713</v>
      </c>
      <c r="J1032" s="1" t="s">
        <v>2713</v>
      </c>
      <c r="K1032" s="1" t="s">
        <v>2713</v>
      </c>
      <c r="L1032" s="1" t="s">
        <v>2713</v>
      </c>
      <c r="M1032" s="1" t="s">
        <v>2713</v>
      </c>
      <c r="N1032" s="1" t="s">
        <v>2713</v>
      </c>
      <c r="O1032" s="1" t="s">
        <v>2713</v>
      </c>
      <c r="P1032" s="1" t="s">
        <v>2713</v>
      </c>
      <c r="Q1032" s="1" t="s">
        <v>2713</v>
      </c>
      <c r="R1032" s="1" t="s">
        <v>2713</v>
      </c>
      <c r="S1032" s="1" t="s">
        <v>2713</v>
      </c>
      <c r="T1032" s="1" t="s">
        <v>2713</v>
      </c>
      <c r="U1032" s="1" t="s">
        <v>2713</v>
      </c>
      <c r="V1032" s="1" t="s">
        <v>2713</v>
      </c>
      <c r="W1032" s="1" t="s">
        <v>2713</v>
      </c>
      <c r="X1032" s="1" t="s">
        <v>2713</v>
      </c>
      <c r="Y1032" s="1" t="s">
        <v>2713</v>
      </c>
      <c r="Z1032" s="1" t="s">
        <v>2713</v>
      </c>
      <c r="AA1032" s="1" t="s">
        <v>2713</v>
      </c>
      <c r="AB1032" s="1" t="s">
        <v>2713</v>
      </c>
      <c r="AC1032" s="1" t="s">
        <v>2713</v>
      </c>
      <c r="AD1032" s="1" t="s">
        <v>2713</v>
      </c>
      <c r="AE1032" s="1" t="s">
        <v>2713</v>
      </c>
      <c r="AF1032" s="1" t="s">
        <v>2713</v>
      </c>
      <c r="AG1032" s="1" t="s">
        <v>2713</v>
      </c>
      <c r="AH1032" s="1" t="s">
        <v>2713</v>
      </c>
      <c r="AI1032" s="1" t="s">
        <v>2713</v>
      </c>
      <c r="AJ1032" s="1" t="s">
        <v>2713</v>
      </c>
      <c r="AK1032" s="1" t="s">
        <v>2713</v>
      </c>
      <c r="AL1032" s="1" t="s">
        <v>2713</v>
      </c>
      <c r="AM1032" s="1" t="s">
        <v>2713</v>
      </c>
    </row>
    <row r="1033" spans="2:39" x14ac:dyDescent="0.25">
      <c r="B1033" s="18" t="s">
        <v>1544</v>
      </c>
      <c r="C1033" s="25" t="s">
        <v>3846</v>
      </c>
      <c r="D1033" s="20" t="s">
        <v>3</v>
      </c>
      <c r="E1033" s="38" t="s">
        <v>3</v>
      </c>
      <c r="F1033" s="22" t="s">
        <v>3</v>
      </c>
      <c r="G1033" s="37" t="s">
        <v>3</v>
      </c>
      <c r="H1033" s="33" t="s">
        <v>3</v>
      </c>
      <c r="I1033" s="34" t="s">
        <v>3</v>
      </c>
      <c r="J1033" s="36" t="s">
        <v>3</v>
      </c>
      <c r="K1033" s="4"/>
      <c r="L1033" s="39"/>
      <c r="M1033" s="4"/>
      <c r="N1033" s="4"/>
      <c r="O1033" s="4"/>
      <c r="P1033" s="4"/>
      <c r="Q1033" s="4"/>
      <c r="R1033" s="4"/>
      <c r="S1033" s="4"/>
      <c r="T1033" s="23"/>
      <c r="U1033" s="23"/>
      <c r="V1033" s="5" t="s">
        <v>3</v>
      </c>
      <c r="W1033" s="4"/>
      <c r="X1033" s="4"/>
      <c r="Y1033" s="6"/>
      <c r="Z1033" s="6"/>
      <c r="AA1033" s="2"/>
      <c r="AB1033" s="29" t="s">
        <v>3</v>
      </c>
      <c r="AC1033" s="5" t="s">
        <v>3</v>
      </c>
      <c r="AD1033" s="2"/>
      <c r="AE1033" s="6"/>
      <c r="AF1033" s="23"/>
      <c r="AG1033" s="6"/>
      <c r="AH1033" s="5" t="s">
        <v>3</v>
      </c>
      <c r="AI1033" s="5" t="s">
        <v>3</v>
      </c>
      <c r="AJ1033" s="5" t="s">
        <v>3</v>
      </c>
      <c r="AK1033" s="16" t="s">
        <v>3</v>
      </c>
      <c r="AL1033" s="40" t="s">
        <v>3</v>
      </c>
      <c r="AM1033" s="31" t="s">
        <v>3</v>
      </c>
    </row>
    <row r="1034" spans="2:39" x14ac:dyDescent="0.25">
      <c r="B1034" s="7" t="s">
        <v>2713</v>
      </c>
      <c r="C1034" s="1" t="s">
        <v>2713</v>
      </c>
      <c r="D1034" s="8" t="s">
        <v>2713</v>
      </c>
      <c r="E1034" s="1" t="s">
        <v>2713</v>
      </c>
      <c r="F1034" s="1" t="s">
        <v>2713</v>
      </c>
      <c r="G1034" s="1" t="s">
        <v>2713</v>
      </c>
      <c r="H1034" s="1" t="s">
        <v>2713</v>
      </c>
      <c r="I1034" s="1" t="s">
        <v>2713</v>
      </c>
      <c r="J1034" s="1" t="s">
        <v>2713</v>
      </c>
      <c r="K1034" s="1" t="s">
        <v>2713</v>
      </c>
      <c r="L1034" s="1" t="s">
        <v>2713</v>
      </c>
      <c r="M1034" s="1" t="s">
        <v>2713</v>
      </c>
      <c r="N1034" s="1" t="s">
        <v>2713</v>
      </c>
      <c r="O1034" s="1" t="s">
        <v>2713</v>
      </c>
      <c r="P1034" s="1" t="s">
        <v>2713</v>
      </c>
      <c r="Q1034" s="1" t="s">
        <v>2713</v>
      </c>
      <c r="R1034" s="1" t="s">
        <v>2713</v>
      </c>
      <c r="S1034" s="1" t="s">
        <v>2713</v>
      </c>
      <c r="T1034" s="1" t="s">
        <v>2713</v>
      </c>
      <c r="U1034" s="1" t="s">
        <v>2713</v>
      </c>
      <c r="V1034" s="1" t="s">
        <v>2713</v>
      </c>
      <c r="W1034" s="1" t="s">
        <v>2713</v>
      </c>
      <c r="X1034" s="1" t="s">
        <v>2713</v>
      </c>
      <c r="Y1034" s="1" t="s">
        <v>2713</v>
      </c>
      <c r="Z1034" s="1" t="s">
        <v>2713</v>
      </c>
      <c r="AA1034" s="1" t="s">
        <v>2713</v>
      </c>
      <c r="AB1034" s="1" t="s">
        <v>2713</v>
      </c>
      <c r="AC1034" s="1" t="s">
        <v>2713</v>
      </c>
      <c r="AD1034" s="1" t="s">
        <v>2713</v>
      </c>
      <c r="AE1034" s="1" t="s">
        <v>2713</v>
      </c>
      <c r="AF1034" s="1" t="s">
        <v>2713</v>
      </c>
      <c r="AG1034" s="1" t="s">
        <v>2713</v>
      </c>
      <c r="AH1034" s="1" t="s">
        <v>2713</v>
      </c>
      <c r="AI1034" s="1" t="s">
        <v>2713</v>
      </c>
      <c r="AJ1034" s="1" t="s">
        <v>2713</v>
      </c>
      <c r="AK1034" s="1" t="s">
        <v>2713</v>
      </c>
      <c r="AL1034" s="1" t="s">
        <v>2713</v>
      </c>
      <c r="AM1034" s="1" t="s">
        <v>2713</v>
      </c>
    </row>
    <row r="1035" spans="2:39" ht="41.4" x14ac:dyDescent="0.25">
      <c r="B1035" s="21" t="s">
        <v>2989</v>
      </c>
      <c r="C1035" s="19" t="s">
        <v>1545</v>
      </c>
      <c r="D1035" s="17"/>
      <c r="E1035" s="2"/>
      <c r="F1035" s="2"/>
      <c r="G1035" s="2"/>
      <c r="H1035" s="2"/>
      <c r="I1035" s="2"/>
      <c r="J1035" s="2"/>
      <c r="K1035" s="3">
        <f>SUM('GMIC_2020-Annu_SCDPT1'!SCDPT1_44BEGIN_7:'GMIC_2020-Annu_SCDPT1'!SCDPT1_44ENDIN_7)</f>
        <v>0</v>
      </c>
      <c r="L1035" s="2"/>
      <c r="M1035" s="3">
        <f>SUM('GMIC_2020-Annu_SCDPT1'!SCDPT1_44BEGIN_9:'GMIC_2020-Annu_SCDPT1'!SCDPT1_44ENDIN_9)</f>
        <v>0</v>
      </c>
      <c r="N1035" s="3">
        <f>SUM('GMIC_2020-Annu_SCDPT1'!SCDPT1_44BEGIN_10:'GMIC_2020-Annu_SCDPT1'!SCDPT1_44ENDIN_10)</f>
        <v>0</v>
      </c>
      <c r="O1035" s="3">
        <f>SUM('GMIC_2020-Annu_SCDPT1'!SCDPT1_44BEGIN_11:'GMIC_2020-Annu_SCDPT1'!SCDPT1_44ENDIN_11)</f>
        <v>0</v>
      </c>
      <c r="P1035" s="3">
        <f>SUM('GMIC_2020-Annu_SCDPT1'!SCDPT1_44BEGIN_12:'GMIC_2020-Annu_SCDPT1'!SCDPT1_44ENDIN_12)</f>
        <v>0</v>
      </c>
      <c r="Q1035" s="3">
        <f>SUM('GMIC_2020-Annu_SCDPT1'!SCDPT1_44BEGIN_13:'GMIC_2020-Annu_SCDPT1'!SCDPT1_44ENDIN_13)</f>
        <v>0</v>
      </c>
      <c r="R1035" s="3">
        <f>SUM('GMIC_2020-Annu_SCDPT1'!SCDPT1_44BEGIN_14:'GMIC_2020-Annu_SCDPT1'!SCDPT1_44ENDIN_14)</f>
        <v>0</v>
      </c>
      <c r="S1035" s="3">
        <f>SUM('GMIC_2020-Annu_SCDPT1'!SCDPT1_44BEGIN_15:'GMIC_2020-Annu_SCDPT1'!SCDPT1_44ENDIN_15)</f>
        <v>0</v>
      </c>
      <c r="T1035" s="2"/>
      <c r="U1035" s="2"/>
      <c r="V1035" s="2"/>
      <c r="W1035" s="3">
        <f>SUM('GMIC_2020-Annu_SCDPT1'!SCDPT1_44BEGIN_19:'GMIC_2020-Annu_SCDPT1'!SCDPT1_44ENDIN_19)</f>
        <v>0</v>
      </c>
      <c r="X1035" s="3">
        <f>SUM('GMIC_2020-Annu_SCDPT1'!SCDPT1_44BEGIN_20:'GMIC_2020-Annu_SCDPT1'!SCDPT1_44ENDIN_20)</f>
        <v>0</v>
      </c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</row>
    <row r="1036" spans="2:39" x14ac:dyDescent="0.25">
      <c r="B1036" s="7" t="s">
        <v>2713</v>
      </c>
      <c r="C1036" s="1" t="s">
        <v>2713</v>
      </c>
      <c r="D1036" s="8" t="s">
        <v>2713</v>
      </c>
      <c r="E1036" s="1" t="s">
        <v>2713</v>
      </c>
      <c r="F1036" s="1" t="s">
        <v>2713</v>
      </c>
      <c r="G1036" s="1" t="s">
        <v>2713</v>
      </c>
      <c r="H1036" s="1" t="s">
        <v>2713</v>
      </c>
      <c r="I1036" s="1" t="s">
        <v>2713</v>
      </c>
      <c r="J1036" s="1" t="s">
        <v>2713</v>
      </c>
      <c r="K1036" s="1" t="s">
        <v>2713</v>
      </c>
      <c r="L1036" s="1" t="s">
        <v>2713</v>
      </c>
      <c r="M1036" s="1" t="s">
        <v>2713</v>
      </c>
      <c r="N1036" s="1" t="s">
        <v>2713</v>
      </c>
      <c r="O1036" s="1" t="s">
        <v>2713</v>
      </c>
      <c r="P1036" s="1" t="s">
        <v>2713</v>
      </c>
      <c r="Q1036" s="1" t="s">
        <v>2713</v>
      </c>
      <c r="R1036" s="1" t="s">
        <v>2713</v>
      </c>
      <c r="S1036" s="1" t="s">
        <v>2713</v>
      </c>
      <c r="T1036" s="1" t="s">
        <v>2713</v>
      </c>
      <c r="U1036" s="1" t="s">
        <v>2713</v>
      </c>
      <c r="V1036" s="1" t="s">
        <v>2713</v>
      </c>
      <c r="W1036" s="1" t="s">
        <v>2713</v>
      </c>
      <c r="X1036" s="1" t="s">
        <v>2713</v>
      </c>
      <c r="Y1036" s="1" t="s">
        <v>2713</v>
      </c>
      <c r="Z1036" s="1" t="s">
        <v>2713</v>
      </c>
      <c r="AA1036" s="1" t="s">
        <v>2713</v>
      </c>
      <c r="AB1036" s="1" t="s">
        <v>2713</v>
      </c>
      <c r="AC1036" s="1" t="s">
        <v>2713</v>
      </c>
      <c r="AD1036" s="1" t="s">
        <v>2713</v>
      </c>
      <c r="AE1036" s="1" t="s">
        <v>2713</v>
      </c>
      <c r="AF1036" s="1" t="s">
        <v>2713</v>
      </c>
      <c r="AG1036" s="1" t="s">
        <v>2713</v>
      </c>
      <c r="AH1036" s="1" t="s">
        <v>2713</v>
      </c>
      <c r="AI1036" s="1" t="s">
        <v>2713</v>
      </c>
      <c r="AJ1036" s="1" t="s">
        <v>2713</v>
      </c>
      <c r="AK1036" s="1" t="s">
        <v>2713</v>
      </c>
      <c r="AL1036" s="1" t="s">
        <v>2713</v>
      </c>
      <c r="AM1036" s="1" t="s">
        <v>2713</v>
      </c>
    </row>
    <row r="1037" spans="2:39" x14ac:dyDescent="0.25">
      <c r="B1037" s="18" t="s">
        <v>806</v>
      </c>
      <c r="C1037" s="25" t="s">
        <v>3846</v>
      </c>
      <c r="D1037" s="20" t="s">
        <v>3</v>
      </c>
      <c r="E1037" s="38" t="s">
        <v>3</v>
      </c>
      <c r="F1037" s="22" t="s">
        <v>3</v>
      </c>
      <c r="G1037" s="37" t="s">
        <v>3</v>
      </c>
      <c r="H1037" s="33" t="s">
        <v>3</v>
      </c>
      <c r="I1037" s="34" t="s">
        <v>3</v>
      </c>
      <c r="J1037" s="36" t="s">
        <v>3</v>
      </c>
      <c r="K1037" s="4"/>
      <c r="L1037" s="39"/>
      <c r="M1037" s="4"/>
      <c r="N1037" s="4"/>
      <c r="O1037" s="4"/>
      <c r="P1037" s="4"/>
      <c r="Q1037" s="4"/>
      <c r="R1037" s="4"/>
      <c r="S1037" s="4"/>
      <c r="T1037" s="23"/>
      <c r="U1037" s="23"/>
      <c r="V1037" s="5" t="s">
        <v>3</v>
      </c>
      <c r="W1037" s="4"/>
      <c r="X1037" s="4"/>
      <c r="Y1037" s="6"/>
      <c r="Z1037" s="6"/>
      <c r="AA1037" s="2"/>
      <c r="AB1037" s="29" t="s">
        <v>3</v>
      </c>
      <c r="AC1037" s="5" t="s">
        <v>3</v>
      </c>
      <c r="AD1037" s="2"/>
      <c r="AE1037" s="6"/>
      <c r="AF1037" s="23"/>
      <c r="AG1037" s="6"/>
      <c r="AH1037" s="5" t="s">
        <v>3</v>
      </c>
      <c r="AI1037" s="5" t="s">
        <v>3</v>
      </c>
      <c r="AJ1037" s="5" t="s">
        <v>3</v>
      </c>
      <c r="AK1037" s="16" t="s">
        <v>3</v>
      </c>
      <c r="AL1037" s="40" t="s">
        <v>3</v>
      </c>
      <c r="AM1037" s="31" t="s">
        <v>3</v>
      </c>
    </row>
    <row r="1038" spans="2:39" x14ac:dyDescent="0.25">
      <c r="B1038" s="7" t="s">
        <v>2713</v>
      </c>
      <c r="C1038" s="1" t="s">
        <v>2713</v>
      </c>
      <c r="D1038" s="8" t="s">
        <v>2713</v>
      </c>
      <c r="E1038" s="1" t="s">
        <v>2713</v>
      </c>
      <c r="F1038" s="1" t="s">
        <v>2713</v>
      </c>
      <c r="G1038" s="1" t="s">
        <v>2713</v>
      </c>
      <c r="H1038" s="1" t="s">
        <v>2713</v>
      </c>
      <c r="I1038" s="1" t="s">
        <v>2713</v>
      </c>
      <c r="J1038" s="1" t="s">
        <v>2713</v>
      </c>
      <c r="K1038" s="1" t="s">
        <v>2713</v>
      </c>
      <c r="L1038" s="1" t="s">
        <v>2713</v>
      </c>
      <c r="M1038" s="1" t="s">
        <v>2713</v>
      </c>
      <c r="N1038" s="1" t="s">
        <v>2713</v>
      </c>
      <c r="O1038" s="1" t="s">
        <v>2713</v>
      </c>
      <c r="P1038" s="1" t="s">
        <v>2713</v>
      </c>
      <c r="Q1038" s="1" t="s">
        <v>2713</v>
      </c>
      <c r="R1038" s="1" t="s">
        <v>2713</v>
      </c>
      <c r="S1038" s="1" t="s">
        <v>2713</v>
      </c>
      <c r="T1038" s="1" t="s">
        <v>2713</v>
      </c>
      <c r="U1038" s="1" t="s">
        <v>2713</v>
      </c>
      <c r="V1038" s="1" t="s">
        <v>2713</v>
      </c>
      <c r="W1038" s="1" t="s">
        <v>2713</v>
      </c>
      <c r="X1038" s="1" t="s">
        <v>2713</v>
      </c>
      <c r="Y1038" s="1" t="s">
        <v>2713</v>
      </c>
      <c r="Z1038" s="1" t="s">
        <v>2713</v>
      </c>
      <c r="AA1038" s="1" t="s">
        <v>2713</v>
      </c>
      <c r="AB1038" s="1" t="s">
        <v>2713</v>
      </c>
      <c r="AC1038" s="1" t="s">
        <v>2713</v>
      </c>
      <c r="AD1038" s="1" t="s">
        <v>2713</v>
      </c>
      <c r="AE1038" s="1" t="s">
        <v>2713</v>
      </c>
      <c r="AF1038" s="1" t="s">
        <v>2713</v>
      </c>
      <c r="AG1038" s="1" t="s">
        <v>2713</v>
      </c>
      <c r="AH1038" s="1" t="s">
        <v>2713</v>
      </c>
      <c r="AI1038" s="1" t="s">
        <v>2713</v>
      </c>
      <c r="AJ1038" s="1" t="s">
        <v>2713</v>
      </c>
      <c r="AK1038" s="1" t="s">
        <v>2713</v>
      </c>
      <c r="AL1038" s="1" t="s">
        <v>2713</v>
      </c>
      <c r="AM1038" s="1" t="s">
        <v>2713</v>
      </c>
    </row>
    <row r="1039" spans="2:39" ht="55.2" x14ac:dyDescent="0.25">
      <c r="B1039" s="21" t="s">
        <v>2167</v>
      </c>
      <c r="C1039" s="19" t="s">
        <v>4113</v>
      </c>
      <c r="D1039" s="17"/>
      <c r="E1039" s="2"/>
      <c r="F1039" s="2"/>
      <c r="G1039" s="2"/>
      <c r="H1039" s="2"/>
      <c r="I1039" s="2"/>
      <c r="J1039" s="2"/>
      <c r="K1039" s="3">
        <f>SUM('GMIC_2020-Annu_SCDPT1'!SCDPT1_45BEGIN_7:'GMIC_2020-Annu_SCDPT1'!SCDPT1_45ENDIN_7)</f>
        <v>0</v>
      </c>
      <c r="L1039" s="2"/>
      <c r="M1039" s="3">
        <f>SUM('GMIC_2020-Annu_SCDPT1'!SCDPT1_45BEGIN_9:'GMIC_2020-Annu_SCDPT1'!SCDPT1_45ENDIN_9)</f>
        <v>0</v>
      </c>
      <c r="N1039" s="3">
        <f>SUM('GMIC_2020-Annu_SCDPT1'!SCDPT1_45BEGIN_10:'GMIC_2020-Annu_SCDPT1'!SCDPT1_45ENDIN_10)</f>
        <v>0</v>
      </c>
      <c r="O1039" s="3">
        <f>SUM('GMIC_2020-Annu_SCDPT1'!SCDPT1_45BEGIN_11:'GMIC_2020-Annu_SCDPT1'!SCDPT1_45ENDIN_11)</f>
        <v>0</v>
      </c>
      <c r="P1039" s="3">
        <f>SUM('GMIC_2020-Annu_SCDPT1'!SCDPT1_45BEGIN_12:'GMIC_2020-Annu_SCDPT1'!SCDPT1_45ENDIN_12)</f>
        <v>0</v>
      </c>
      <c r="Q1039" s="3">
        <f>SUM('GMIC_2020-Annu_SCDPT1'!SCDPT1_45BEGIN_13:'GMIC_2020-Annu_SCDPT1'!SCDPT1_45ENDIN_13)</f>
        <v>0</v>
      </c>
      <c r="R1039" s="3">
        <f>SUM('GMIC_2020-Annu_SCDPT1'!SCDPT1_45BEGIN_14:'GMIC_2020-Annu_SCDPT1'!SCDPT1_45ENDIN_14)</f>
        <v>0</v>
      </c>
      <c r="S1039" s="3">
        <f>SUM('GMIC_2020-Annu_SCDPT1'!SCDPT1_45BEGIN_15:'GMIC_2020-Annu_SCDPT1'!SCDPT1_45ENDIN_15)</f>
        <v>0</v>
      </c>
      <c r="T1039" s="2"/>
      <c r="U1039" s="2"/>
      <c r="V1039" s="2"/>
      <c r="W1039" s="3">
        <f>SUM('GMIC_2020-Annu_SCDPT1'!SCDPT1_45BEGIN_19:'GMIC_2020-Annu_SCDPT1'!SCDPT1_45ENDIN_19)</f>
        <v>0</v>
      </c>
      <c r="X1039" s="3">
        <f>SUM('GMIC_2020-Annu_SCDPT1'!SCDPT1_45BEGIN_20:'GMIC_2020-Annu_SCDPT1'!SCDPT1_45ENDIN_20)</f>
        <v>0</v>
      </c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</row>
    <row r="1040" spans="2:39" x14ac:dyDescent="0.25">
      <c r="B1040" s="21" t="s">
        <v>4386</v>
      </c>
      <c r="C1040" s="19" t="s">
        <v>3747</v>
      </c>
      <c r="D1040" s="17"/>
      <c r="E1040" s="2"/>
      <c r="F1040" s="2"/>
      <c r="G1040" s="2"/>
      <c r="H1040" s="2"/>
      <c r="I1040" s="2"/>
      <c r="J1040" s="2"/>
      <c r="K1040" s="3">
        <f>'GMIC_2020-Annu_SCDPT1'!SCDPT1_4299999_7+'GMIC_2020-Annu_SCDPT1'!SCDPT1_4399999_7+'GMIC_2020-Annu_SCDPT1'!SCDPT1_4499999_7+'GMIC_2020-Annu_SCDPT1'!SCDPT1_4599999_7</f>
        <v>0</v>
      </c>
      <c r="L1040" s="2"/>
      <c r="M1040" s="3">
        <f>'GMIC_2020-Annu_SCDPT1'!SCDPT1_4299999_9+'GMIC_2020-Annu_SCDPT1'!SCDPT1_4399999_9+'GMIC_2020-Annu_SCDPT1'!SCDPT1_4499999_9+'GMIC_2020-Annu_SCDPT1'!SCDPT1_4599999_9</f>
        <v>0</v>
      </c>
      <c r="N1040" s="3">
        <f>'GMIC_2020-Annu_SCDPT1'!SCDPT1_4299999_10+'GMIC_2020-Annu_SCDPT1'!SCDPT1_4399999_10+'GMIC_2020-Annu_SCDPT1'!SCDPT1_4499999_10+'GMIC_2020-Annu_SCDPT1'!SCDPT1_4599999_10</f>
        <v>0</v>
      </c>
      <c r="O1040" s="3">
        <f>'GMIC_2020-Annu_SCDPT1'!SCDPT1_4299999_11+'GMIC_2020-Annu_SCDPT1'!SCDPT1_4399999_11+'GMIC_2020-Annu_SCDPT1'!SCDPT1_4499999_11+'GMIC_2020-Annu_SCDPT1'!SCDPT1_4599999_11</f>
        <v>0</v>
      </c>
      <c r="P1040" s="3">
        <f>'GMIC_2020-Annu_SCDPT1'!SCDPT1_4299999_12+'GMIC_2020-Annu_SCDPT1'!SCDPT1_4399999_12+'GMIC_2020-Annu_SCDPT1'!SCDPT1_4499999_12+'GMIC_2020-Annu_SCDPT1'!SCDPT1_4599999_12</f>
        <v>0</v>
      </c>
      <c r="Q1040" s="3">
        <f>'GMIC_2020-Annu_SCDPT1'!SCDPT1_4299999_13+'GMIC_2020-Annu_SCDPT1'!SCDPT1_4399999_13+'GMIC_2020-Annu_SCDPT1'!SCDPT1_4499999_13+'GMIC_2020-Annu_SCDPT1'!SCDPT1_4599999_13</f>
        <v>0</v>
      </c>
      <c r="R1040" s="3">
        <f>'GMIC_2020-Annu_SCDPT1'!SCDPT1_4299999_14+'GMIC_2020-Annu_SCDPT1'!SCDPT1_4399999_14+'GMIC_2020-Annu_SCDPT1'!SCDPT1_4499999_14+'GMIC_2020-Annu_SCDPT1'!SCDPT1_4599999_14</f>
        <v>0</v>
      </c>
      <c r="S1040" s="3">
        <f>'GMIC_2020-Annu_SCDPT1'!SCDPT1_4299999_15+'GMIC_2020-Annu_SCDPT1'!SCDPT1_4399999_15+'GMIC_2020-Annu_SCDPT1'!SCDPT1_4499999_15+'GMIC_2020-Annu_SCDPT1'!SCDPT1_4599999_15</f>
        <v>0</v>
      </c>
      <c r="T1040" s="2"/>
      <c r="U1040" s="2"/>
      <c r="V1040" s="2"/>
      <c r="W1040" s="3">
        <f>'GMIC_2020-Annu_SCDPT1'!SCDPT1_4299999_19+'GMIC_2020-Annu_SCDPT1'!SCDPT1_4399999_19+'GMIC_2020-Annu_SCDPT1'!SCDPT1_4499999_19+'GMIC_2020-Annu_SCDPT1'!SCDPT1_4599999_19</f>
        <v>0</v>
      </c>
      <c r="X1040" s="3">
        <f>'GMIC_2020-Annu_SCDPT1'!SCDPT1_4299999_20+'GMIC_2020-Annu_SCDPT1'!SCDPT1_4399999_20+'GMIC_2020-Annu_SCDPT1'!SCDPT1_4499999_20+'GMIC_2020-Annu_SCDPT1'!SCDPT1_4599999_20</f>
        <v>0</v>
      </c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</row>
    <row r="1041" spans="2:39" x14ac:dyDescent="0.25">
      <c r="B1041" s="7" t="s">
        <v>2713</v>
      </c>
      <c r="C1041" s="1" t="s">
        <v>2713</v>
      </c>
      <c r="D1041" s="8" t="s">
        <v>2713</v>
      </c>
      <c r="E1041" s="1" t="s">
        <v>2713</v>
      </c>
      <c r="F1041" s="1" t="s">
        <v>2713</v>
      </c>
      <c r="G1041" s="1" t="s">
        <v>2713</v>
      </c>
      <c r="H1041" s="1" t="s">
        <v>2713</v>
      </c>
      <c r="I1041" s="1" t="s">
        <v>2713</v>
      </c>
      <c r="J1041" s="1" t="s">
        <v>2713</v>
      </c>
      <c r="K1041" s="1" t="s">
        <v>2713</v>
      </c>
      <c r="L1041" s="1" t="s">
        <v>2713</v>
      </c>
      <c r="M1041" s="1" t="s">
        <v>2713</v>
      </c>
      <c r="N1041" s="1" t="s">
        <v>2713</v>
      </c>
      <c r="O1041" s="1" t="s">
        <v>2713</v>
      </c>
      <c r="P1041" s="1" t="s">
        <v>2713</v>
      </c>
      <c r="Q1041" s="1" t="s">
        <v>2713</v>
      </c>
      <c r="R1041" s="1" t="s">
        <v>2713</v>
      </c>
      <c r="S1041" s="1" t="s">
        <v>2713</v>
      </c>
      <c r="T1041" s="1" t="s">
        <v>2713</v>
      </c>
      <c r="U1041" s="1" t="s">
        <v>2713</v>
      </c>
      <c r="V1041" s="1" t="s">
        <v>2713</v>
      </c>
      <c r="W1041" s="1" t="s">
        <v>2713</v>
      </c>
      <c r="X1041" s="1" t="s">
        <v>2713</v>
      </c>
      <c r="Y1041" s="1" t="s">
        <v>2713</v>
      </c>
      <c r="Z1041" s="1" t="s">
        <v>2713</v>
      </c>
      <c r="AA1041" s="1" t="s">
        <v>2713</v>
      </c>
      <c r="AB1041" s="1" t="s">
        <v>2713</v>
      </c>
      <c r="AC1041" s="1" t="s">
        <v>2713</v>
      </c>
      <c r="AD1041" s="1" t="s">
        <v>2713</v>
      </c>
      <c r="AE1041" s="1" t="s">
        <v>2713</v>
      </c>
      <c r="AF1041" s="1" t="s">
        <v>2713</v>
      </c>
      <c r="AG1041" s="1" t="s">
        <v>2713</v>
      </c>
      <c r="AH1041" s="1" t="s">
        <v>2713</v>
      </c>
      <c r="AI1041" s="1" t="s">
        <v>2713</v>
      </c>
      <c r="AJ1041" s="1" t="s">
        <v>2713</v>
      </c>
      <c r="AK1041" s="1" t="s">
        <v>2713</v>
      </c>
      <c r="AL1041" s="1" t="s">
        <v>2713</v>
      </c>
      <c r="AM1041" s="1" t="s">
        <v>2713</v>
      </c>
    </row>
    <row r="1042" spans="2:39" x14ac:dyDescent="0.25">
      <c r="B1042" s="18" t="s">
        <v>2168</v>
      </c>
      <c r="C1042" s="25" t="s">
        <v>3846</v>
      </c>
      <c r="D1042" s="20" t="s">
        <v>3</v>
      </c>
      <c r="E1042" s="38" t="s">
        <v>3</v>
      </c>
      <c r="F1042" s="22" t="s">
        <v>3</v>
      </c>
      <c r="G1042" s="37" t="s">
        <v>3</v>
      </c>
      <c r="H1042" s="33" t="s">
        <v>3</v>
      </c>
      <c r="I1042" s="34" t="s">
        <v>3</v>
      </c>
      <c r="J1042" s="36" t="s">
        <v>3</v>
      </c>
      <c r="K1042" s="4"/>
      <c r="L1042" s="39"/>
      <c r="M1042" s="4"/>
      <c r="N1042" s="4"/>
      <c r="O1042" s="4"/>
      <c r="P1042" s="4"/>
      <c r="Q1042" s="4"/>
      <c r="R1042" s="4"/>
      <c r="S1042" s="4"/>
      <c r="T1042" s="23"/>
      <c r="U1042" s="23"/>
      <c r="V1042" s="5" t="s">
        <v>3</v>
      </c>
      <c r="W1042" s="4"/>
      <c r="X1042" s="4"/>
      <c r="Y1042" s="6"/>
      <c r="Z1042" s="6"/>
      <c r="AA1042" s="2"/>
      <c r="AB1042" s="29" t="s">
        <v>3</v>
      </c>
      <c r="AC1042" s="5" t="s">
        <v>3</v>
      </c>
      <c r="AD1042" s="2"/>
      <c r="AE1042" s="6"/>
      <c r="AF1042" s="23"/>
      <c r="AG1042" s="6"/>
      <c r="AH1042" s="5" t="s">
        <v>3</v>
      </c>
      <c r="AI1042" s="5" t="s">
        <v>3</v>
      </c>
      <c r="AJ1042" s="5" t="s">
        <v>3</v>
      </c>
      <c r="AK1042" s="16" t="s">
        <v>3</v>
      </c>
      <c r="AL1042" s="40" t="s">
        <v>3</v>
      </c>
      <c r="AM1042" s="31" t="s">
        <v>3</v>
      </c>
    </row>
    <row r="1043" spans="2:39" x14ac:dyDescent="0.25">
      <c r="B1043" s="7" t="s">
        <v>2713</v>
      </c>
      <c r="C1043" s="1" t="s">
        <v>2713</v>
      </c>
      <c r="D1043" s="8" t="s">
        <v>2713</v>
      </c>
      <c r="E1043" s="1" t="s">
        <v>2713</v>
      </c>
      <c r="F1043" s="1" t="s">
        <v>2713</v>
      </c>
      <c r="G1043" s="1" t="s">
        <v>2713</v>
      </c>
      <c r="H1043" s="1" t="s">
        <v>2713</v>
      </c>
      <c r="I1043" s="1" t="s">
        <v>2713</v>
      </c>
      <c r="J1043" s="1" t="s">
        <v>2713</v>
      </c>
      <c r="K1043" s="1" t="s">
        <v>2713</v>
      </c>
      <c r="L1043" s="1" t="s">
        <v>2713</v>
      </c>
      <c r="M1043" s="1" t="s">
        <v>2713</v>
      </c>
      <c r="N1043" s="1" t="s">
        <v>2713</v>
      </c>
      <c r="O1043" s="1" t="s">
        <v>2713</v>
      </c>
      <c r="P1043" s="1" t="s">
        <v>2713</v>
      </c>
      <c r="Q1043" s="1" t="s">
        <v>2713</v>
      </c>
      <c r="R1043" s="1" t="s">
        <v>2713</v>
      </c>
      <c r="S1043" s="1" t="s">
        <v>2713</v>
      </c>
      <c r="T1043" s="1" t="s">
        <v>2713</v>
      </c>
      <c r="U1043" s="1" t="s">
        <v>2713</v>
      </c>
      <c r="V1043" s="1" t="s">
        <v>2713</v>
      </c>
      <c r="W1043" s="1" t="s">
        <v>2713</v>
      </c>
      <c r="X1043" s="1" t="s">
        <v>2713</v>
      </c>
      <c r="Y1043" s="1" t="s">
        <v>2713</v>
      </c>
      <c r="Z1043" s="1" t="s">
        <v>2713</v>
      </c>
      <c r="AA1043" s="1" t="s">
        <v>2713</v>
      </c>
      <c r="AB1043" s="1" t="s">
        <v>2713</v>
      </c>
      <c r="AC1043" s="1" t="s">
        <v>2713</v>
      </c>
      <c r="AD1043" s="1" t="s">
        <v>2713</v>
      </c>
      <c r="AE1043" s="1" t="s">
        <v>2713</v>
      </c>
      <c r="AF1043" s="1" t="s">
        <v>2713</v>
      </c>
      <c r="AG1043" s="1" t="s">
        <v>2713</v>
      </c>
      <c r="AH1043" s="1" t="s">
        <v>2713</v>
      </c>
      <c r="AI1043" s="1" t="s">
        <v>2713</v>
      </c>
      <c r="AJ1043" s="1" t="s">
        <v>2713</v>
      </c>
      <c r="AK1043" s="1" t="s">
        <v>2713</v>
      </c>
      <c r="AL1043" s="1" t="s">
        <v>2713</v>
      </c>
      <c r="AM1043" s="1" t="s">
        <v>2713</v>
      </c>
    </row>
    <row r="1044" spans="2:39" ht="41.4" x14ac:dyDescent="0.25">
      <c r="B1044" s="21" t="s">
        <v>3467</v>
      </c>
      <c r="C1044" s="19" t="s">
        <v>2169</v>
      </c>
      <c r="D1044" s="17"/>
      <c r="E1044" s="2"/>
      <c r="F1044" s="2"/>
      <c r="G1044" s="2"/>
      <c r="H1044" s="2"/>
      <c r="I1044" s="2"/>
      <c r="J1044" s="2"/>
      <c r="K1044" s="3">
        <f>SUM('GMIC_2020-Annu_SCDPT1'!SCDPT1_49BEGIN_7:'GMIC_2020-Annu_SCDPT1'!SCDPT1_49ENDIN_7)</f>
        <v>0</v>
      </c>
      <c r="L1044" s="2"/>
      <c r="M1044" s="3">
        <f>SUM('GMIC_2020-Annu_SCDPT1'!SCDPT1_49BEGIN_9:'GMIC_2020-Annu_SCDPT1'!SCDPT1_49ENDIN_9)</f>
        <v>0</v>
      </c>
      <c r="N1044" s="3">
        <f>SUM('GMIC_2020-Annu_SCDPT1'!SCDPT1_49BEGIN_10:'GMIC_2020-Annu_SCDPT1'!SCDPT1_49ENDIN_10)</f>
        <v>0</v>
      </c>
      <c r="O1044" s="3">
        <f>SUM('GMIC_2020-Annu_SCDPT1'!SCDPT1_49BEGIN_11:'GMIC_2020-Annu_SCDPT1'!SCDPT1_49ENDIN_11)</f>
        <v>0</v>
      </c>
      <c r="P1044" s="3">
        <f>SUM('GMIC_2020-Annu_SCDPT1'!SCDPT1_49BEGIN_12:'GMIC_2020-Annu_SCDPT1'!SCDPT1_49ENDIN_12)</f>
        <v>0</v>
      </c>
      <c r="Q1044" s="3">
        <f>SUM('GMIC_2020-Annu_SCDPT1'!SCDPT1_49BEGIN_13:'GMIC_2020-Annu_SCDPT1'!SCDPT1_49ENDIN_13)</f>
        <v>0</v>
      </c>
      <c r="R1044" s="3">
        <f>SUM('GMIC_2020-Annu_SCDPT1'!SCDPT1_49BEGIN_14:'GMIC_2020-Annu_SCDPT1'!SCDPT1_49ENDIN_14)</f>
        <v>0</v>
      </c>
      <c r="S1044" s="3">
        <f>SUM('GMIC_2020-Annu_SCDPT1'!SCDPT1_49BEGIN_15:'GMIC_2020-Annu_SCDPT1'!SCDPT1_49ENDIN_15)</f>
        <v>0</v>
      </c>
      <c r="T1044" s="2"/>
      <c r="U1044" s="2"/>
      <c r="V1044" s="2"/>
      <c r="W1044" s="3">
        <f>SUM('GMIC_2020-Annu_SCDPT1'!SCDPT1_49BEGIN_19:'GMIC_2020-Annu_SCDPT1'!SCDPT1_49ENDIN_19)</f>
        <v>0</v>
      </c>
      <c r="X1044" s="3">
        <f>SUM('GMIC_2020-Annu_SCDPT1'!SCDPT1_49BEGIN_20:'GMIC_2020-Annu_SCDPT1'!SCDPT1_49ENDIN_20)</f>
        <v>0</v>
      </c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</row>
    <row r="1045" spans="2:39" x14ac:dyDescent="0.25">
      <c r="B1045" s="7" t="s">
        <v>2713</v>
      </c>
      <c r="C1045" s="1" t="s">
        <v>2713</v>
      </c>
      <c r="D1045" s="8" t="s">
        <v>2713</v>
      </c>
      <c r="E1045" s="1" t="s">
        <v>2713</v>
      </c>
      <c r="F1045" s="1" t="s">
        <v>2713</v>
      </c>
      <c r="G1045" s="1" t="s">
        <v>2713</v>
      </c>
      <c r="H1045" s="1" t="s">
        <v>2713</v>
      </c>
      <c r="I1045" s="1" t="s">
        <v>2713</v>
      </c>
      <c r="J1045" s="1" t="s">
        <v>2713</v>
      </c>
      <c r="K1045" s="1" t="s">
        <v>2713</v>
      </c>
      <c r="L1045" s="1" t="s">
        <v>2713</v>
      </c>
      <c r="M1045" s="1" t="s">
        <v>2713</v>
      </c>
      <c r="N1045" s="1" t="s">
        <v>2713</v>
      </c>
      <c r="O1045" s="1" t="s">
        <v>2713</v>
      </c>
      <c r="P1045" s="1" t="s">
        <v>2713</v>
      </c>
      <c r="Q1045" s="1" t="s">
        <v>2713</v>
      </c>
      <c r="R1045" s="1" t="s">
        <v>2713</v>
      </c>
      <c r="S1045" s="1" t="s">
        <v>2713</v>
      </c>
      <c r="T1045" s="1" t="s">
        <v>2713</v>
      </c>
      <c r="U1045" s="1" t="s">
        <v>2713</v>
      </c>
      <c r="V1045" s="1" t="s">
        <v>2713</v>
      </c>
      <c r="W1045" s="1" t="s">
        <v>2713</v>
      </c>
      <c r="X1045" s="1" t="s">
        <v>2713</v>
      </c>
      <c r="Y1045" s="1" t="s">
        <v>2713</v>
      </c>
      <c r="Z1045" s="1" t="s">
        <v>2713</v>
      </c>
      <c r="AA1045" s="1" t="s">
        <v>2713</v>
      </c>
      <c r="AB1045" s="1" t="s">
        <v>2713</v>
      </c>
      <c r="AC1045" s="1" t="s">
        <v>2713</v>
      </c>
      <c r="AD1045" s="1" t="s">
        <v>2713</v>
      </c>
      <c r="AE1045" s="1" t="s">
        <v>2713</v>
      </c>
      <c r="AF1045" s="1" t="s">
        <v>2713</v>
      </c>
      <c r="AG1045" s="1" t="s">
        <v>2713</v>
      </c>
      <c r="AH1045" s="1" t="s">
        <v>2713</v>
      </c>
      <c r="AI1045" s="1" t="s">
        <v>2713</v>
      </c>
      <c r="AJ1045" s="1" t="s">
        <v>2713</v>
      </c>
      <c r="AK1045" s="1" t="s">
        <v>2713</v>
      </c>
      <c r="AL1045" s="1" t="s">
        <v>2713</v>
      </c>
      <c r="AM1045" s="1" t="s">
        <v>2713</v>
      </c>
    </row>
    <row r="1046" spans="2:39" x14ac:dyDescent="0.25">
      <c r="B1046" s="18" t="s">
        <v>2990</v>
      </c>
      <c r="C1046" s="25" t="s">
        <v>3846</v>
      </c>
      <c r="D1046" s="20" t="s">
        <v>3</v>
      </c>
      <c r="E1046" s="38" t="s">
        <v>3</v>
      </c>
      <c r="F1046" s="22" t="s">
        <v>3</v>
      </c>
      <c r="G1046" s="37" t="s">
        <v>3</v>
      </c>
      <c r="H1046" s="33" t="s">
        <v>3</v>
      </c>
      <c r="I1046" s="34" t="s">
        <v>3</v>
      </c>
      <c r="J1046" s="36" t="s">
        <v>3</v>
      </c>
      <c r="K1046" s="4"/>
      <c r="L1046" s="39"/>
      <c r="M1046" s="4"/>
      <c r="N1046" s="4"/>
      <c r="O1046" s="4"/>
      <c r="P1046" s="4"/>
      <c r="Q1046" s="4"/>
      <c r="R1046" s="4"/>
      <c r="S1046" s="4"/>
      <c r="T1046" s="23"/>
      <c r="U1046" s="23"/>
      <c r="V1046" s="5" t="s">
        <v>3</v>
      </c>
      <c r="W1046" s="4"/>
      <c r="X1046" s="4"/>
      <c r="Y1046" s="6"/>
      <c r="Z1046" s="6"/>
      <c r="AA1046" s="2"/>
      <c r="AB1046" s="29" t="s">
        <v>3</v>
      </c>
      <c r="AC1046" s="5" t="s">
        <v>3</v>
      </c>
      <c r="AD1046" s="2"/>
      <c r="AE1046" s="6"/>
      <c r="AF1046" s="23"/>
      <c r="AG1046" s="6"/>
      <c r="AH1046" s="5" t="s">
        <v>3</v>
      </c>
      <c r="AI1046" s="5" t="s">
        <v>3</v>
      </c>
      <c r="AJ1046" s="5" t="s">
        <v>3</v>
      </c>
      <c r="AK1046" s="16" t="s">
        <v>3</v>
      </c>
      <c r="AL1046" s="40" t="s">
        <v>3</v>
      </c>
      <c r="AM1046" s="31" t="s">
        <v>3</v>
      </c>
    </row>
    <row r="1047" spans="2:39" x14ac:dyDescent="0.25">
      <c r="B1047" s="7" t="s">
        <v>2713</v>
      </c>
      <c r="C1047" s="1" t="s">
        <v>2713</v>
      </c>
      <c r="D1047" s="8" t="s">
        <v>2713</v>
      </c>
      <c r="E1047" s="1" t="s">
        <v>2713</v>
      </c>
      <c r="F1047" s="1" t="s">
        <v>2713</v>
      </c>
      <c r="G1047" s="1" t="s">
        <v>2713</v>
      </c>
      <c r="H1047" s="1" t="s">
        <v>2713</v>
      </c>
      <c r="I1047" s="1" t="s">
        <v>2713</v>
      </c>
      <c r="J1047" s="1" t="s">
        <v>2713</v>
      </c>
      <c r="K1047" s="1" t="s">
        <v>2713</v>
      </c>
      <c r="L1047" s="1" t="s">
        <v>2713</v>
      </c>
      <c r="M1047" s="1" t="s">
        <v>2713</v>
      </c>
      <c r="N1047" s="1" t="s">
        <v>2713</v>
      </c>
      <c r="O1047" s="1" t="s">
        <v>2713</v>
      </c>
      <c r="P1047" s="1" t="s">
        <v>2713</v>
      </c>
      <c r="Q1047" s="1" t="s">
        <v>2713</v>
      </c>
      <c r="R1047" s="1" t="s">
        <v>2713</v>
      </c>
      <c r="S1047" s="1" t="s">
        <v>2713</v>
      </c>
      <c r="T1047" s="1" t="s">
        <v>2713</v>
      </c>
      <c r="U1047" s="1" t="s">
        <v>2713</v>
      </c>
      <c r="V1047" s="1" t="s">
        <v>2713</v>
      </c>
      <c r="W1047" s="1" t="s">
        <v>2713</v>
      </c>
      <c r="X1047" s="1" t="s">
        <v>2713</v>
      </c>
      <c r="Y1047" s="1" t="s">
        <v>2713</v>
      </c>
      <c r="Z1047" s="1" t="s">
        <v>2713</v>
      </c>
      <c r="AA1047" s="1" t="s">
        <v>2713</v>
      </c>
      <c r="AB1047" s="1" t="s">
        <v>2713</v>
      </c>
      <c r="AC1047" s="1" t="s">
        <v>2713</v>
      </c>
      <c r="AD1047" s="1" t="s">
        <v>2713</v>
      </c>
      <c r="AE1047" s="1" t="s">
        <v>2713</v>
      </c>
      <c r="AF1047" s="1" t="s">
        <v>2713</v>
      </c>
      <c r="AG1047" s="1" t="s">
        <v>2713</v>
      </c>
      <c r="AH1047" s="1" t="s">
        <v>2713</v>
      </c>
      <c r="AI1047" s="1" t="s">
        <v>2713</v>
      </c>
      <c r="AJ1047" s="1" t="s">
        <v>2713</v>
      </c>
      <c r="AK1047" s="1" t="s">
        <v>2713</v>
      </c>
      <c r="AL1047" s="1" t="s">
        <v>2713</v>
      </c>
      <c r="AM1047" s="1" t="s">
        <v>2713</v>
      </c>
    </row>
    <row r="1048" spans="2:39" ht="55.2" x14ac:dyDescent="0.25">
      <c r="B1048" s="21" t="s">
        <v>4387</v>
      </c>
      <c r="C1048" s="19" t="s">
        <v>3468</v>
      </c>
      <c r="D1048" s="17"/>
      <c r="E1048" s="2"/>
      <c r="F1048" s="2"/>
      <c r="G1048" s="2"/>
      <c r="H1048" s="2"/>
      <c r="I1048" s="2"/>
      <c r="J1048" s="2"/>
      <c r="K1048" s="3">
        <f>SUM('GMIC_2020-Annu_SCDPT1'!SCDPT1_50BEGIN_7:'GMIC_2020-Annu_SCDPT1'!SCDPT1_50ENDIN_7)</f>
        <v>0</v>
      </c>
      <c r="L1048" s="2"/>
      <c r="M1048" s="3">
        <f>SUM('GMIC_2020-Annu_SCDPT1'!SCDPT1_50BEGIN_9:'GMIC_2020-Annu_SCDPT1'!SCDPT1_50ENDIN_9)</f>
        <v>0</v>
      </c>
      <c r="N1048" s="3">
        <f>SUM('GMIC_2020-Annu_SCDPT1'!SCDPT1_50BEGIN_10:'GMIC_2020-Annu_SCDPT1'!SCDPT1_50ENDIN_10)</f>
        <v>0</v>
      </c>
      <c r="O1048" s="3">
        <f>SUM('GMIC_2020-Annu_SCDPT1'!SCDPT1_50BEGIN_11:'GMIC_2020-Annu_SCDPT1'!SCDPT1_50ENDIN_11)</f>
        <v>0</v>
      </c>
      <c r="P1048" s="3">
        <f>SUM('GMIC_2020-Annu_SCDPT1'!SCDPT1_50BEGIN_12:'GMIC_2020-Annu_SCDPT1'!SCDPT1_50ENDIN_12)</f>
        <v>0</v>
      </c>
      <c r="Q1048" s="3">
        <f>SUM('GMIC_2020-Annu_SCDPT1'!SCDPT1_50BEGIN_13:'GMIC_2020-Annu_SCDPT1'!SCDPT1_50ENDIN_13)</f>
        <v>0</v>
      </c>
      <c r="R1048" s="3">
        <f>SUM('GMIC_2020-Annu_SCDPT1'!SCDPT1_50BEGIN_14:'GMIC_2020-Annu_SCDPT1'!SCDPT1_50ENDIN_14)</f>
        <v>0</v>
      </c>
      <c r="S1048" s="3">
        <f>SUM('GMIC_2020-Annu_SCDPT1'!SCDPT1_50BEGIN_15:'GMIC_2020-Annu_SCDPT1'!SCDPT1_50ENDIN_15)</f>
        <v>0</v>
      </c>
      <c r="T1048" s="2"/>
      <c r="U1048" s="2"/>
      <c r="V1048" s="2"/>
      <c r="W1048" s="3">
        <f>SUM('GMIC_2020-Annu_SCDPT1'!SCDPT1_50BEGIN_19:'GMIC_2020-Annu_SCDPT1'!SCDPT1_50ENDIN_19)</f>
        <v>0</v>
      </c>
      <c r="X1048" s="3">
        <f>SUM('GMIC_2020-Annu_SCDPT1'!SCDPT1_50BEGIN_20:'GMIC_2020-Annu_SCDPT1'!SCDPT1_50ENDIN_20)</f>
        <v>0</v>
      </c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</row>
    <row r="1049" spans="2:39" x14ac:dyDescent="0.25">
      <c r="B1049" s="7" t="s">
        <v>2713</v>
      </c>
      <c r="C1049" s="1" t="s">
        <v>2713</v>
      </c>
      <c r="D1049" s="8" t="s">
        <v>2713</v>
      </c>
      <c r="E1049" s="1" t="s">
        <v>2713</v>
      </c>
      <c r="F1049" s="1" t="s">
        <v>2713</v>
      </c>
      <c r="G1049" s="1" t="s">
        <v>2713</v>
      </c>
      <c r="H1049" s="1" t="s">
        <v>2713</v>
      </c>
      <c r="I1049" s="1" t="s">
        <v>2713</v>
      </c>
      <c r="J1049" s="1" t="s">
        <v>2713</v>
      </c>
      <c r="K1049" s="1" t="s">
        <v>2713</v>
      </c>
      <c r="L1049" s="1" t="s">
        <v>2713</v>
      </c>
      <c r="M1049" s="1" t="s">
        <v>2713</v>
      </c>
      <c r="N1049" s="1" t="s">
        <v>2713</v>
      </c>
      <c r="O1049" s="1" t="s">
        <v>2713</v>
      </c>
      <c r="P1049" s="1" t="s">
        <v>2713</v>
      </c>
      <c r="Q1049" s="1" t="s">
        <v>2713</v>
      </c>
      <c r="R1049" s="1" t="s">
        <v>2713</v>
      </c>
      <c r="S1049" s="1" t="s">
        <v>2713</v>
      </c>
      <c r="T1049" s="1" t="s">
        <v>2713</v>
      </c>
      <c r="U1049" s="1" t="s">
        <v>2713</v>
      </c>
      <c r="V1049" s="1" t="s">
        <v>2713</v>
      </c>
      <c r="W1049" s="1" t="s">
        <v>2713</v>
      </c>
      <c r="X1049" s="1" t="s">
        <v>2713</v>
      </c>
      <c r="Y1049" s="1" t="s">
        <v>2713</v>
      </c>
      <c r="Z1049" s="1" t="s">
        <v>2713</v>
      </c>
      <c r="AA1049" s="1" t="s">
        <v>2713</v>
      </c>
      <c r="AB1049" s="1" t="s">
        <v>2713</v>
      </c>
      <c r="AC1049" s="1" t="s">
        <v>2713</v>
      </c>
      <c r="AD1049" s="1" t="s">
        <v>2713</v>
      </c>
      <c r="AE1049" s="1" t="s">
        <v>2713</v>
      </c>
      <c r="AF1049" s="1" t="s">
        <v>2713</v>
      </c>
      <c r="AG1049" s="1" t="s">
        <v>2713</v>
      </c>
      <c r="AH1049" s="1" t="s">
        <v>2713</v>
      </c>
      <c r="AI1049" s="1" t="s">
        <v>2713</v>
      </c>
      <c r="AJ1049" s="1" t="s">
        <v>2713</v>
      </c>
      <c r="AK1049" s="1" t="s">
        <v>2713</v>
      </c>
      <c r="AL1049" s="1" t="s">
        <v>2713</v>
      </c>
      <c r="AM1049" s="1" t="s">
        <v>2713</v>
      </c>
    </row>
    <row r="1050" spans="2:39" x14ac:dyDescent="0.25">
      <c r="B1050" s="18" t="s">
        <v>2170</v>
      </c>
      <c r="C1050" s="25" t="s">
        <v>3846</v>
      </c>
      <c r="D1050" s="20" t="s">
        <v>3</v>
      </c>
      <c r="E1050" s="38" t="s">
        <v>3</v>
      </c>
      <c r="F1050" s="22" t="s">
        <v>3</v>
      </c>
      <c r="G1050" s="37" t="s">
        <v>3</v>
      </c>
      <c r="H1050" s="33" t="s">
        <v>3</v>
      </c>
      <c r="I1050" s="34" t="s">
        <v>3</v>
      </c>
      <c r="J1050" s="36" t="s">
        <v>3</v>
      </c>
      <c r="K1050" s="4"/>
      <c r="L1050" s="39"/>
      <c r="M1050" s="4"/>
      <c r="N1050" s="4"/>
      <c r="O1050" s="4"/>
      <c r="P1050" s="4"/>
      <c r="Q1050" s="4"/>
      <c r="R1050" s="4"/>
      <c r="S1050" s="4"/>
      <c r="T1050" s="23"/>
      <c r="U1050" s="23"/>
      <c r="V1050" s="5" t="s">
        <v>3</v>
      </c>
      <c r="W1050" s="4"/>
      <c r="X1050" s="4"/>
      <c r="Y1050" s="6"/>
      <c r="Z1050" s="6"/>
      <c r="AA1050" s="2"/>
      <c r="AB1050" s="29" t="s">
        <v>3</v>
      </c>
      <c r="AC1050" s="5" t="s">
        <v>3</v>
      </c>
      <c r="AD1050" s="2"/>
      <c r="AE1050" s="6"/>
      <c r="AF1050" s="23"/>
      <c r="AG1050" s="6"/>
      <c r="AH1050" s="5" t="s">
        <v>3</v>
      </c>
      <c r="AI1050" s="5" t="s">
        <v>3</v>
      </c>
      <c r="AJ1050" s="5" t="s">
        <v>3</v>
      </c>
      <c r="AK1050" s="16" t="s">
        <v>3</v>
      </c>
      <c r="AL1050" s="40" t="s">
        <v>3</v>
      </c>
      <c r="AM1050" s="31" t="s">
        <v>3</v>
      </c>
    </row>
    <row r="1051" spans="2:39" x14ac:dyDescent="0.25">
      <c r="B1051" s="7" t="s">
        <v>2713</v>
      </c>
      <c r="C1051" s="1" t="s">
        <v>2713</v>
      </c>
      <c r="D1051" s="8" t="s">
        <v>2713</v>
      </c>
      <c r="E1051" s="1" t="s">
        <v>2713</v>
      </c>
      <c r="F1051" s="1" t="s">
        <v>2713</v>
      </c>
      <c r="G1051" s="1" t="s">
        <v>2713</v>
      </c>
      <c r="H1051" s="1" t="s">
        <v>2713</v>
      </c>
      <c r="I1051" s="1" t="s">
        <v>2713</v>
      </c>
      <c r="J1051" s="1" t="s">
        <v>2713</v>
      </c>
      <c r="K1051" s="1" t="s">
        <v>2713</v>
      </c>
      <c r="L1051" s="1" t="s">
        <v>2713</v>
      </c>
      <c r="M1051" s="1" t="s">
        <v>2713</v>
      </c>
      <c r="N1051" s="1" t="s">
        <v>2713</v>
      </c>
      <c r="O1051" s="1" t="s">
        <v>2713</v>
      </c>
      <c r="P1051" s="1" t="s">
        <v>2713</v>
      </c>
      <c r="Q1051" s="1" t="s">
        <v>2713</v>
      </c>
      <c r="R1051" s="1" t="s">
        <v>2713</v>
      </c>
      <c r="S1051" s="1" t="s">
        <v>2713</v>
      </c>
      <c r="T1051" s="1" t="s">
        <v>2713</v>
      </c>
      <c r="U1051" s="1" t="s">
        <v>2713</v>
      </c>
      <c r="V1051" s="1" t="s">
        <v>2713</v>
      </c>
      <c r="W1051" s="1" t="s">
        <v>2713</v>
      </c>
      <c r="X1051" s="1" t="s">
        <v>2713</v>
      </c>
      <c r="Y1051" s="1" t="s">
        <v>2713</v>
      </c>
      <c r="Z1051" s="1" t="s">
        <v>2713</v>
      </c>
      <c r="AA1051" s="1" t="s">
        <v>2713</v>
      </c>
      <c r="AB1051" s="1" t="s">
        <v>2713</v>
      </c>
      <c r="AC1051" s="1" t="s">
        <v>2713</v>
      </c>
      <c r="AD1051" s="1" t="s">
        <v>2713</v>
      </c>
      <c r="AE1051" s="1" t="s">
        <v>2713</v>
      </c>
      <c r="AF1051" s="1" t="s">
        <v>2713</v>
      </c>
      <c r="AG1051" s="1" t="s">
        <v>2713</v>
      </c>
      <c r="AH1051" s="1" t="s">
        <v>2713</v>
      </c>
      <c r="AI1051" s="1" t="s">
        <v>2713</v>
      </c>
      <c r="AJ1051" s="1" t="s">
        <v>2713</v>
      </c>
      <c r="AK1051" s="1" t="s">
        <v>2713</v>
      </c>
      <c r="AL1051" s="1" t="s">
        <v>2713</v>
      </c>
      <c r="AM1051" s="1" t="s">
        <v>2713</v>
      </c>
    </row>
    <row r="1052" spans="2:39" ht="55.2" x14ac:dyDescent="0.25">
      <c r="B1052" s="21" t="s">
        <v>3469</v>
      </c>
      <c r="C1052" s="19" t="s">
        <v>3256</v>
      </c>
      <c r="D1052" s="17"/>
      <c r="E1052" s="2"/>
      <c r="F1052" s="2"/>
      <c r="G1052" s="2"/>
      <c r="H1052" s="2"/>
      <c r="I1052" s="2"/>
      <c r="J1052" s="2"/>
      <c r="K1052" s="3">
        <f>SUM('GMIC_2020-Annu_SCDPT1'!SCDPT1_51BEGIN_7:'GMIC_2020-Annu_SCDPT1'!SCDPT1_51ENDIN_7)</f>
        <v>0</v>
      </c>
      <c r="L1052" s="2"/>
      <c r="M1052" s="3">
        <f>SUM('GMIC_2020-Annu_SCDPT1'!SCDPT1_51BEGIN_9:'GMIC_2020-Annu_SCDPT1'!SCDPT1_51ENDIN_9)</f>
        <v>0</v>
      </c>
      <c r="N1052" s="3">
        <f>SUM('GMIC_2020-Annu_SCDPT1'!SCDPT1_51BEGIN_10:'GMIC_2020-Annu_SCDPT1'!SCDPT1_51ENDIN_10)</f>
        <v>0</v>
      </c>
      <c r="O1052" s="3">
        <f>SUM('GMIC_2020-Annu_SCDPT1'!SCDPT1_51BEGIN_11:'GMIC_2020-Annu_SCDPT1'!SCDPT1_51ENDIN_11)</f>
        <v>0</v>
      </c>
      <c r="P1052" s="3">
        <f>SUM('GMIC_2020-Annu_SCDPT1'!SCDPT1_51BEGIN_12:'GMIC_2020-Annu_SCDPT1'!SCDPT1_51ENDIN_12)</f>
        <v>0</v>
      </c>
      <c r="Q1052" s="3">
        <f>SUM('GMIC_2020-Annu_SCDPT1'!SCDPT1_51BEGIN_13:'GMIC_2020-Annu_SCDPT1'!SCDPT1_51ENDIN_13)</f>
        <v>0</v>
      </c>
      <c r="R1052" s="3">
        <f>SUM('GMIC_2020-Annu_SCDPT1'!SCDPT1_51BEGIN_14:'GMIC_2020-Annu_SCDPT1'!SCDPT1_51ENDIN_14)</f>
        <v>0</v>
      </c>
      <c r="S1052" s="3">
        <f>SUM('GMIC_2020-Annu_SCDPT1'!SCDPT1_51BEGIN_15:'GMIC_2020-Annu_SCDPT1'!SCDPT1_51ENDIN_15)</f>
        <v>0</v>
      </c>
      <c r="T1052" s="2"/>
      <c r="U1052" s="2"/>
      <c r="V1052" s="2"/>
      <c r="W1052" s="3">
        <f>SUM('GMIC_2020-Annu_SCDPT1'!SCDPT1_51BEGIN_19:'GMIC_2020-Annu_SCDPT1'!SCDPT1_51ENDIN_19)</f>
        <v>0</v>
      </c>
      <c r="X1052" s="3">
        <f>SUM('GMIC_2020-Annu_SCDPT1'!SCDPT1_51BEGIN_20:'GMIC_2020-Annu_SCDPT1'!SCDPT1_51ENDIN_20)</f>
        <v>0</v>
      </c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</row>
    <row r="1053" spans="2:39" x14ac:dyDescent="0.25">
      <c r="B1053" s="7" t="s">
        <v>2713</v>
      </c>
      <c r="C1053" s="1" t="s">
        <v>2713</v>
      </c>
      <c r="D1053" s="8" t="s">
        <v>2713</v>
      </c>
      <c r="E1053" s="1" t="s">
        <v>2713</v>
      </c>
      <c r="F1053" s="1" t="s">
        <v>2713</v>
      </c>
      <c r="G1053" s="1" t="s">
        <v>2713</v>
      </c>
      <c r="H1053" s="1" t="s">
        <v>2713</v>
      </c>
      <c r="I1053" s="1" t="s">
        <v>2713</v>
      </c>
      <c r="J1053" s="1" t="s">
        <v>2713</v>
      </c>
      <c r="K1053" s="1" t="s">
        <v>2713</v>
      </c>
      <c r="L1053" s="1" t="s">
        <v>2713</v>
      </c>
      <c r="M1053" s="1" t="s">
        <v>2713</v>
      </c>
      <c r="N1053" s="1" t="s">
        <v>2713</v>
      </c>
      <c r="O1053" s="1" t="s">
        <v>2713</v>
      </c>
      <c r="P1053" s="1" t="s">
        <v>2713</v>
      </c>
      <c r="Q1053" s="1" t="s">
        <v>2713</v>
      </c>
      <c r="R1053" s="1" t="s">
        <v>2713</v>
      </c>
      <c r="S1053" s="1" t="s">
        <v>2713</v>
      </c>
      <c r="T1053" s="1" t="s">
        <v>2713</v>
      </c>
      <c r="U1053" s="1" t="s">
        <v>2713</v>
      </c>
      <c r="V1053" s="1" t="s">
        <v>2713</v>
      </c>
      <c r="W1053" s="1" t="s">
        <v>2713</v>
      </c>
      <c r="X1053" s="1" t="s">
        <v>2713</v>
      </c>
      <c r="Y1053" s="1" t="s">
        <v>2713</v>
      </c>
      <c r="Z1053" s="1" t="s">
        <v>2713</v>
      </c>
      <c r="AA1053" s="1" t="s">
        <v>2713</v>
      </c>
      <c r="AB1053" s="1" t="s">
        <v>2713</v>
      </c>
      <c r="AC1053" s="1" t="s">
        <v>2713</v>
      </c>
      <c r="AD1053" s="1" t="s">
        <v>2713</v>
      </c>
      <c r="AE1053" s="1" t="s">
        <v>2713</v>
      </c>
      <c r="AF1053" s="1" t="s">
        <v>2713</v>
      </c>
      <c r="AG1053" s="1" t="s">
        <v>2713</v>
      </c>
      <c r="AH1053" s="1" t="s">
        <v>2713</v>
      </c>
      <c r="AI1053" s="1" t="s">
        <v>2713</v>
      </c>
      <c r="AJ1053" s="1" t="s">
        <v>2713</v>
      </c>
      <c r="AK1053" s="1" t="s">
        <v>2713</v>
      </c>
      <c r="AL1053" s="1" t="s">
        <v>2713</v>
      </c>
      <c r="AM1053" s="1" t="s">
        <v>2713</v>
      </c>
    </row>
    <row r="1054" spans="2:39" x14ac:dyDescent="0.25">
      <c r="B1054" s="18" t="s">
        <v>1286</v>
      </c>
      <c r="C1054" s="25" t="s">
        <v>3846</v>
      </c>
      <c r="D1054" s="20" t="s">
        <v>3</v>
      </c>
      <c r="E1054" s="38" t="s">
        <v>3</v>
      </c>
      <c r="F1054" s="22" t="s">
        <v>3</v>
      </c>
      <c r="G1054" s="37" t="s">
        <v>3</v>
      </c>
      <c r="H1054" s="33" t="s">
        <v>3</v>
      </c>
      <c r="I1054" s="34" t="s">
        <v>3</v>
      </c>
      <c r="J1054" s="36" t="s">
        <v>3</v>
      </c>
      <c r="K1054" s="4"/>
      <c r="L1054" s="39"/>
      <c r="M1054" s="4"/>
      <c r="N1054" s="4"/>
      <c r="O1054" s="4"/>
      <c r="P1054" s="4"/>
      <c r="Q1054" s="4"/>
      <c r="R1054" s="4"/>
      <c r="S1054" s="4"/>
      <c r="T1054" s="23"/>
      <c r="U1054" s="23"/>
      <c r="V1054" s="5" t="s">
        <v>3</v>
      </c>
      <c r="W1054" s="4"/>
      <c r="X1054" s="4"/>
      <c r="Y1054" s="6"/>
      <c r="Z1054" s="6"/>
      <c r="AA1054" s="2"/>
      <c r="AB1054" s="29" t="s">
        <v>3</v>
      </c>
      <c r="AC1054" s="5" t="s">
        <v>3</v>
      </c>
      <c r="AD1054" s="2"/>
      <c r="AE1054" s="6"/>
      <c r="AF1054" s="23"/>
      <c r="AG1054" s="6"/>
      <c r="AH1054" s="5" t="s">
        <v>3</v>
      </c>
      <c r="AI1054" s="5" t="s">
        <v>3</v>
      </c>
      <c r="AJ1054" s="5" t="s">
        <v>3</v>
      </c>
      <c r="AK1054" s="16" t="s">
        <v>3</v>
      </c>
      <c r="AL1054" s="40" t="s">
        <v>3</v>
      </c>
      <c r="AM1054" s="31" t="s">
        <v>3</v>
      </c>
    </row>
    <row r="1055" spans="2:39" x14ac:dyDescent="0.25">
      <c r="B1055" s="7" t="s">
        <v>2713</v>
      </c>
      <c r="C1055" s="1" t="s">
        <v>2713</v>
      </c>
      <c r="D1055" s="8" t="s">
        <v>2713</v>
      </c>
      <c r="E1055" s="1" t="s">
        <v>2713</v>
      </c>
      <c r="F1055" s="1" t="s">
        <v>2713</v>
      </c>
      <c r="G1055" s="1" t="s">
        <v>2713</v>
      </c>
      <c r="H1055" s="1" t="s">
        <v>2713</v>
      </c>
      <c r="I1055" s="1" t="s">
        <v>2713</v>
      </c>
      <c r="J1055" s="1" t="s">
        <v>2713</v>
      </c>
      <c r="K1055" s="1" t="s">
        <v>2713</v>
      </c>
      <c r="L1055" s="1" t="s">
        <v>2713</v>
      </c>
      <c r="M1055" s="1" t="s">
        <v>2713</v>
      </c>
      <c r="N1055" s="1" t="s">
        <v>2713</v>
      </c>
      <c r="O1055" s="1" t="s">
        <v>2713</v>
      </c>
      <c r="P1055" s="1" t="s">
        <v>2713</v>
      </c>
      <c r="Q1055" s="1" t="s">
        <v>2713</v>
      </c>
      <c r="R1055" s="1" t="s">
        <v>2713</v>
      </c>
      <c r="S1055" s="1" t="s">
        <v>2713</v>
      </c>
      <c r="T1055" s="1" t="s">
        <v>2713</v>
      </c>
      <c r="U1055" s="1" t="s">
        <v>2713</v>
      </c>
      <c r="V1055" s="1" t="s">
        <v>2713</v>
      </c>
      <c r="W1055" s="1" t="s">
        <v>2713</v>
      </c>
      <c r="X1055" s="1" t="s">
        <v>2713</v>
      </c>
      <c r="Y1055" s="1" t="s">
        <v>2713</v>
      </c>
      <c r="Z1055" s="1" t="s">
        <v>2713</v>
      </c>
      <c r="AA1055" s="1" t="s">
        <v>2713</v>
      </c>
      <c r="AB1055" s="1" t="s">
        <v>2713</v>
      </c>
      <c r="AC1055" s="1" t="s">
        <v>2713</v>
      </c>
      <c r="AD1055" s="1" t="s">
        <v>2713</v>
      </c>
      <c r="AE1055" s="1" t="s">
        <v>2713</v>
      </c>
      <c r="AF1055" s="1" t="s">
        <v>2713</v>
      </c>
      <c r="AG1055" s="1" t="s">
        <v>2713</v>
      </c>
      <c r="AH1055" s="1" t="s">
        <v>2713</v>
      </c>
      <c r="AI1055" s="1" t="s">
        <v>2713</v>
      </c>
      <c r="AJ1055" s="1" t="s">
        <v>2713</v>
      </c>
      <c r="AK1055" s="1" t="s">
        <v>2713</v>
      </c>
      <c r="AL1055" s="1" t="s">
        <v>2713</v>
      </c>
      <c r="AM1055" s="1" t="s">
        <v>2713</v>
      </c>
    </row>
    <row r="1056" spans="2:39" ht="55.2" x14ac:dyDescent="0.25">
      <c r="B1056" s="21" t="s">
        <v>2635</v>
      </c>
      <c r="C1056" s="19" t="s">
        <v>807</v>
      </c>
      <c r="D1056" s="17"/>
      <c r="E1056" s="2"/>
      <c r="F1056" s="2"/>
      <c r="G1056" s="2"/>
      <c r="H1056" s="2"/>
      <c r="I1056" s="2"/>
      <c r="J1056" s="2"/>
      <c r="K1056" s="3">
        <f>SUM('GMIC_2020-Annu_SCDPT1'!SCDPT1_52BEGIN_7:'GMIC_2020-Annu_SCDPT1'!SCDPT1_52ENDIN_7)</f>
        <v>0</v>
      </c>
      <c r="L1056" s="2"/>
      <c r="M1056" s="3">
        <f>SUM('GMIC_2020-Annu_SCDPT1'!SCDPT1_52BEGIN_9:'GMIC_2020-Annu_SCDPT1'!SCDPT1_52ENDIN_9)</f>
        <v>0</v>
      </c>
      <c r="N1056" s="3">
        <f>SUM('GMIC_2020-Annu_SCDPT1'!SCDPT1_52BEGIN_10:'GMIC_2020-Annu_SCDPT1'!SCDPT1_52ENDIN_10)</f>
        <v>0</v>
      </c>
      <c r="O1056" s="3">
        <f>SUM('GMIC_2020-Annu_SCDPT1'!SCDPT1_52BEGIN_11:'GMIC_2020-Annu_SCDPT1'!SCDPT1_52ENDIN_11)</f>
        <v>0</v>
      </c>
      <c r="P1056" s="3">
        <f>SUM('GMIC_2020-Annu_SCDPT1'!SCDPT1_52BEGIN_12:'GMIC_2020-Annu_SCDPT1'!SCDPT1_52ENDIN_12)</f>
        <v>0</v>
      </c>
      <c r="Q1056" s="3">
        <f>SUM('GMIC_2020-Annu_SCDPT1'!SCDPT1_52BEGIN_13:'GMIC_2020-Annu_SCDPT1'!SCDPT1_52ENDIN_13)</f>
        <v>0</v>
      </c>
      <c r="R1056" s="3">
        <f>SUM('GMIC_2020-Annu_SCDPT1'!SCDPT1_52BEGIN_14:'GMIC_2020-Annu_SCDPT1'!SCDPT1_52ENDIN_14)</f>
        <v>0</v>
      </c>
      <c r="S1056" s="3">
        <f>SUM('GMIC_2020-Annu_SCDPT1'!SCDPT1_52BEGIN_15:'GMIC_2020-Annu_SCDPT1'!SCDPT1_52ENDIN_15)</f>
        <v>0</v>
      </c>
      <c r="T1056" s="2"/>
      <c r="U1056" s="2"/>
      <c r="V1056" s="2"/>
      <c r="W1056" s="3">
        <f>SUM('GMIC_2020-Annu_SCDPT1'!SCDPT1_52BEGIN_19:'GMIC_2020-Annu_SCDPT1'!SCDPT1_52ENDIN_19)</f>
        <v>0</v>
      </c>
      <c r="X1056" s="3">
        <f>SUM('GMIC_2020-Annu_SCDPT1'!SCDPT1_52BEGIN_20:'GMIC_2020-Annu_SCDPT1'!SCDPT1_52ENDIN_20)</f>
        <v>0</v>
      </c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</row>
    <row r="1057" spans="2:39" x14ac:dyDescent="0.25">
      <c r="B1057" s="7" t="s">
        <v>2713</v>
      </c>
      <c r="C1057" s="1" t="s">
        <v>2713</v>
      </c>
      <c r="D1057" s="8" t="s">
        <v>2713</v>
      </c>
      <c r="E1057" s="1" t="s">
        <v>2713</v>
      </c>
      <c r="F1057" s="1" t="s">
        <v>2713</v>
      </c>
      <c r="G1057" s="1" t="s">
        <v>2713</v>
      </c>
      <c r="H1057" s="1" t="s">
        <v>2713</v>
      </c>
      <c r="I1057" s="1" t="s">
        <v>2713</v>
      </c>
      <c r="J1057" s="1" t="s">
        <v>2713</v>
      </c>
      <c r="K1057" s="1" t="s">
        <v>2713</v>
      </c>
      <c r="L1057" s="1" t="s">
        <v>2713</v>
      </c>
      <c r="M1057" s="1" t="s">
        <v>2713</v>
      </c>
      <c r="N1057" s="1" t="s">
        <v>2713</v>
      </c>
      <c r="O1057" s="1" t="s">
        <v>2713</v>
      </c>
      <c r="P1057" s="1" t="s">
        <v>2713</v>
      </c>
      <c r="Q1057" s="1" t="s">
        <v>2713</v>
      </c>
      <c r="R1057" s="1" t="s">
        <v>2713</v>
      </c>
      <c r="S1057" s="1" t="s">
        <v>2713</v>
      </c>
      <c r="T1057" s="1" t="s">
        <v>2713</v>
      </c>
      <c r="U1057" s="1" t="s">
        <v>2713</v>
      </c>
      <c r="V1057" s="1" t="s">
        <v>2713</v>
      </c>
      <c r="W1057" s="1" t="s">
        <v>2713</v>
      </c>
      <c r="X1057" s="1" t="s">
        <v>2713</v>
      </c>
      <c r="Y1057" s="1" t="s">
        <v>2713</v>
      </c>
      <c r="Z1057" s="1" t="s">
        <v>2713</v>
      </c>
      <c r="AA1057" s="1" t="s">
        <v>2713</v>
      </c>
      <c r="AB1057" s="1" t="s">
        <v>2713</v>
      </c>
      <c r="AC1057" s="1" t="s">
        <v>2713</v>
      </c>
      <c r="AD1057" s="1" t="s">
        <v>2713</v>
      </c>
      <c r="AE1057" s="1" t="s">
        <v>2713</v>
      </c>
      <c r="AF1057" s="1" t="s">
        <v>2713</v>
      </c>
      <c r="AG1057" s="1" t="s">
        <v>2713</v>
      </c>
      <c r="AH1057" s="1" t="s">
        <v>2713</v>
      </c>
      <c r="AI1057" s="1" t="s">
        <v>2713</v>
      </c>
      <c r="AJ1057" s="1" t="s">
        <v>2713</v>
      </c>
      <c r="AK1057" s="1" t="s">
        <v>2713</v>
      </c>
      <c r="AL1057" s="1" t="s">
        <v>2713</v>
      </c>
      <c r="AM1057" s="1" t="s">
        <v>2713</v>
      </c>
    </row>
    <row r="1058" spans="2:39" x14ac:dyDescent="0.25">
      <c r="B1058" s="18" t="s">
        <v>469</v>
      </c>
      <c r="C1058" s="25" t="s">
        <v>3846</v>
      </c>
      <c r="D1058" s="20" t="s">
        <v>3</v>
      </c>
      <c r="E1058" s="38" t="s">
        <v>3</v>
      </c>
      <c r="F1058" s="22" t="s">
        <v>3</v>
      </c>
      <c r="G1058" s="37" t="s">
        <v>3</v>
      </c>
      <c r="H1058" s="33" t="s">
        <v>3</v>
      </c>
      <c r="I1058" s="34" t="s">
        <v>3</v>
      </c>
      <c r="J1058" s="36" t="s">
        <v>3</v>
      </c>
      <c r="K1058" s="4"/>
      <c r="L1058" s="39"/>
      <c r="M1058" s="4"/>
      <c r="N1058" s="4"/>
      <c r="O1058" s="4"/>
      <c r="P1058" s="4"/>
      <c r="Q1058" s="4"/>
      <c r="R1058" s="4"/>
      <c r="S1058" s="4"/>
      <c r="T1058" s="23"/>
      <c r="U1058" s="23"/>
      <c r="V1058" s="5" t="s">
        <v>3</v>
      </c>
      <c r="W1058" s="4"/>
      <c r="X1058" s="4"/>
      <c r="Y1058" s="6"/>
      <c r="Z1058" s="6"/>
      <c r="AA1058" s="2"/>
      <c r="AB1058" s="29" t="s">
        <v>3</v>
      </c>
      <c r="AC1058" s="5" t="s">
        <v>3</v>
      </c>
      <c r="AD1058" s="2"/>
      <c r="AE1058" s="6"/>
      <c r="AF1058" s="23"/>
      <c r="AG1058" s="6"/>
      <c r="AH1058" s="5" t="s">
        <v>3</v>
      </c>
      <c r="AI1058" s="5" t="s">
        <v>3</v>
      </c>
      <c r="AJ1058" s="5" t="s">
        <v>3</v>
      </c>
      <c r="AK1058" s="16" t="s">
        <v>3</v>
      </c>
      <c r="AL1058" s="40" t="s">
        <v>3</v>
      </c>
      <c r="AM1058" s="31" t="s">
        <v>3</v>
      </c>
    </row>
    <row r="1059" spans="2:39" x14ac:dyDescent="0.25">
      <c r="B1059" s="7" t="s">
        <v>2713</v>
      </c>
      <c r="C1059" s="1" t="s">
        <v>2713</v>
      </c>
      <c r="D1059" s="8" t="s">
        <v>2713</v>
      </c>
      <c r="E1059" s="1" t="s">
        <v>2713</v>
      </c>
      <c r="F1059" s="1" t="s">
        <v>2713</v>
      </c>
      <c r="G1059" s="1" t="s">
        <v>2713</v>
      </c>
      <c r="H1059" s="1" t="s">
        <v>2713</v>
      </c>
      <c r="I1059" s="1" t="s">
        <v>2713</v>
      </c>
      <c r="J1059" s="1" t="s">
        <v>2713</v>
      </c>
      <c r="K1059" s="1" t="s">
        <v>2713</v>
      </c>
      <c r="L1059" s="1" t="s">
        <v>2713</v>
      </c>
      <c r="M1059" s="1" t="s">
        <v>2713</v>
      </c>
      <c r="N1059" s="1" t="s">
        <v>2713</v>
      </c>
      <c r="O1059" s="1" t="s">
        <v>2713</v>
      </c>
      <c r="P1059" s="1" t="s">
        <v>2713</v>
      </c>
      <c r="Q1059" s="1" t="s">
        <v>2713</v>
      </c>
      <c r="R1059" s="1" t="s">
        <v>2713</v>
      </c>
      <c r="S1059" s="1" t="s">
        <v>2713</v>
      </c>
      <c r="T1059" s="1" t="s">
        <v>2713</v>
      </c>
      <c r="U1059" s="1" t="s">
        <v>2713</v>
      </c>
      <c r="V1059" s="1" t="s">
        <v>2713</v>
      </c>
      <c r="W1059" s="1" t="s">
        <v>2713</v>
      </c>
      <c r="X1059" s="1" t="s">
        <v>2713</v>
      </c>
      <c r="Y1059" s="1" t="s">
        <v>2713</v>
      </c>
      <c r="Z1059" s="1" t="s">
        <v>2713</v>
      </c>
      <c r="AA1059" s="1" t="s">
        <v>2713</v>
      </c>
      <c r="AB1059" s="1" t="s">
        <v>2713</v>
      </c>
      <c r="AC1059" s="1" t="s">
        <v>2713</v>
      </c>
      <c r="AD1059" s="1" t="s">
        <v>2713</v>
      </c>
      <c r="AE1059" s="1" t="s">
        <v>2713</v>
      </c>
      <c r="AF1059" s="1" t="s">
        <v>2713</v>
      </c>
      <c r="AG1059" s="1" t="s">
        <v>2713</v>
      </c>
      <c r="AH1059" s="1" t="s">
        <v>2713</v>
      </c>
      <c r="AI1059" s="1" t="s">
        <v>2713</v>
      </c>
      <c r="AJ1059" s="1" t="s">
        <v>2713</v>
      </c>
      <c r="AK1059" s="1" t="s">
        <v>2713</v>
      </c>
      <c r="AL1059" s="1" t="s">
        <v>2713</v>
      </c>
      <c r="AM1059" s="1" t="s">
        <v>2713</v>
      </c>
    </row>
    <row r="1060" spans="2:39" ht="27.6" x14ac:dyDescent="0.25">
      <c r="B1060" s="21" t="s">
        <v>2171</v>
      </c>
      <c r="C1060" s="19" t="s">
        <v>2369</v>
      </c>
      <c r="D1060" s="17"/>
      <c r="E1060" s="2"/>
      <c r="F1060" s="2"/>
      <c r="G1060" s="2"/>
      <c r="H1060" s="2"/>
      <c r="I1060" s="2"/>
      <c r="J1060" s="2"/>
      <c r="K1060" s="3">
        <f>SUM('GMIC_2020-Annu_SCDPT1'!SCDPT1_53BEGIN_7:'GMIC_2020-Annu_SCDPT1'!SCDPT1_53ENDIN_7)</f>
        <v>0</v>
      </c>
      <c r="L1060" s="2"/>
      <c r="M1060" s="3">
        <f>SUM('GMIC_2020-Annu_SCDPT1'!SCDPT1_53BEGIN_9:'GMIC_2020-Annu_SCDPT1'!SCDPT1_53ENDIN_9)</f>
        <v>0</v>
      </c>
      <c r="N1060" s="3">
        <f>SUM('GMIC_2020-Annu_SCDPT1'!SCDPT1_53BEGIN_10:'GMIC_2020-Annu_SCDPT1'!SCDPT1_53ENDIN_10)</f>
        <v>0</v>
      </c>
      <c r="O1060" s="3">
        <f>SUM('GMIC_2020-Annu_SCDPT1'!SCDPT1_53BEGIN_11:'GMIC_2020-Annu_SCDPT1'!SCDPT1_53ENDIN_11)</f>
        <v>0</v>
      </c>
      <c r="P1060" s="3">
        <f>SUM('GMIC_2020-Annu_SCDPT1'!SCDPT1_53BEGIN_12:'GMIC_2020-Annu_SCDPT1'!SCDPT1_53ENDIN_12)</f>
        <v>0</v>
      </c>
      <c r="Q1060" s="3">
        <f>SUM('GMIC_2020-Annu_SCDPT1'!SCDPT1_53BEGIN_13:'GMIC_2020-Annu_SCDPT1'!SCDPT1_53ENDIN_13)</f>
        <v>0</v>
      </c>
      <c r="R1060" s="3">
        <f>SUM('GMIC_2020-Annu_SCDPT1'!SCDPT1_53BEGIN_14:'GMIC_2020-Annu_SCDPT1'!SCDPT1_53ENDIN_14)</f>
        <v>0</v>
      </c>
      <c r="S1060" s="3">
        <f>SUM('GMIC_2020-Annu_SCDPT1'!SCDPT1_53BEGIN_15:'GMIC_2020-Annu_SCDPT1'!SCDPT1_53ENDIN_15)</f>
        <v>0</v>
      </c>
      <c r="T1060" s="2"/>
      <c r="U1060" s="2"/>
      <c r="V1060" s="2"/>
      <c r="W1060" s="3">
        <f>SUM('GMIC_2020-Annu_SCDPT1'!SCDPT1_53BEGIN_19:'GMIC_2020-Annu_SCDPT1'!SCDPT1_53ENDIN_19)</f>
        <v>0</v>
      </c>
      <c r="X1060" s="3">
        <f>SUM('GMIC_2020-Annu_SCDPT1'!SCDPT1_53BEGIN_20:'GMIC_2020-Annu_SCDPT1'!SCDPT1_53ENDIN_20)</f>
        <v>0</v>
      </c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</row>
    <row r="1061" spans="2:39" x14ac:dyDescent="0.25">
      <c r="B1061" s="7" t="s">
        <v>2713</v>
      </c>
      <c r="C1061" s="1" t="s">
        <v>2713</v>
      </c>
      <c r="D1061" s="8" t="s">
        <v>2713</v>
      </c>
      <c r="E1061" s="1" t="s">
        <v>2713</v>
      </c>
      <c r="F1061" s="1" t="s">
        <v>2713</v>
      </c>
      <c r="G1061" s="1" t="s">
        <v>2713</v>
      </c>
      <c r="H1061" s="1" t="s">
        <v>2713</v>
      </c>
      <c r="I1061" s="1" t="s">
        <v>2713</v>
      </c>
      <c r="J1061" s="1" t="s">
        <v>2713</v>
      </c>
      <c r="K1061" s="1" t="s">
        <v>2713</v>
      </c>
      <c r="L1061" s="1" t="s">
        <v>2713</v>
      </c>
      <c r="M1061" s="1" t="s">
        <v>2713</v>
      </c>
      <c r="N1061" s="1" t="s">
        <v>2713</v>
      </c>
      <c r="O1061" s="1" t="s">
        <v>2713</v>
      </c>
      <c r="P1061" s="1" t="s">
        <v>2713</v>
      </c>
      <c r="Q1061" s="1" t="s">
        <v>2713</v>
      </c>
      <c r="R1061" s="1" t="s">
        <v>2713</v>
      </c>
      <c r="S1061" s="1" t="s">
        <v>2713</v>
      </c>
      <c r="T1061" s="1" t="s">
        <v>2713</v>
      </c>
      <c r="U1061" s="1" t="s">
        <v>2713</v>
      </c>
      <c r="V1061" s="1" t="s">
        <v>2713</v>
      </c>
      <c r="W1061" s="1" t="s">
        <v>2713</v>
      </c>
      <c r="X1061" s="1" t="s">
        <v>2713</v>
      </c>
      <c r="Y1061" s="1" t="s">
        <v>2713</v>
      </c>
      <c r="Z1061" s="1" t="s">
        <v>2713</v>
      </c>
      <c r="AA1061" s="1" t="s">
        <v>2713</v>
      </c>
      <c r="AB1061" s="1" t="s">
        <v>2713</v>
      </c>
      <c r="AC1061" s="1" t="s">
        <v>2713</v>
      </c>
      <c r="AD1061" s="1" t="s">
        <v>2713</v>
      </c>
      <c r="AE1061" s="1" t="s">
        <v>2713</v>
      </c>
      <c r="AF1061" s="1" t="s">
        <v>2713</v>
      </c>
      <c r="AG1061" s="1" t="s">
        <v>2713</v>
      </c>
      <c r="AH1061" s="1" t="s">
        <v>2713</v>
      </c>
      <c r="AI1061" s="1" t="s">
        <v>2713</v>
      </c>
      <c r="AJ1061" s="1" t="s">
        <v>2713</v>
      </c>
      <c r="AK1061" s="1" t="s">
        <v>2713</v>
      </c>
      <c r="AL1061" s="1" t="s">
        <v>2713</v>
      </c>
      <c r="AM1061" s="1" t="s">
        <v>2713</v>
      </c>
    </row>
    <row r="1062" spans="2:39" x14ac:dyDescent="0.25">
      <c r="B1062" s="18" t="s">
        <v>4388</v>
      </c>
      <c r="C1062" s="25" t="s">
        <v>3846</v>
      </c>
      <c r="D1062" s="20" t="s">
        <v>3</v>
      </c>
      <c r="E1062" s="38" t="s">
        <v>3</v>
      </c>
      <c r="F1062" s="22" t="s">
        <v>3</v>
      </c>
      <c r="G1062" s="37" t="s">
        <v>3</v>
      </c>
      <c r="H1062" s="33" t="s">
        <v>3</v>
      </c>
      <c r="I1062" s="34" t="s">
        <v>3</v>
      </c>
      <c r="J1062" s="36" t="s">
        <v>3</v>
      </c>
      <c r="K1062" s="4"/>
      <c r="L1062" s="39"/>
      <c r="M1062" s="4"/>
      <c r="N1062" s="4"/>
      <c r="O1062" s="4"/>
      <c r="P1062" s="4"/>
      <c r="Q1062" s="4"/>
      <c r="R1062" s="4"/>
      <c r="S1062" s="4"/>
      <c r="T1062" s="23"/>
      <c r="U1062" s="23"/>
      <c r="V1062" s="5" t="s">
        <v>3</v>
      </c>
      <c r="W1062" s="4"/>
      <c r="X1062" s="4"/>
      <c r="Y1062" s="6"/>
      <c r="Z1062" s="6"/>
      <c r="AA1062" s="2"/>
      <c r="AB1062" s="29" t="s">
        <v>3</v>
      </c>
      <c r="AC1062" s="5" t="s">
        <v>3</v>
      </c>
      <c r="AD1062" s="2"/>
      <c r="AE1062" s="6"/>
      <c r="AF1062" s="23"/>
      <c r="AG1062" s="6"/>
      <c r="AH1062" s="5" t="s">
        <v>3</v>
      </c>
      <c r="AI1062" s="5" t="s">
        <v>3</v>
      </c>
      <c r="AJ1062" s="5" t="s">
        <v>3</v>
      </c>
      <c r="AK1062" s="16" t="s">
        <v>3</v>
      </c>
      <c r="AL1062" s="40" t="s">
        <v>3</v>
      </c>
      <c r="AM1062" s="31" t="s">
        <v>3</v>
      </c>
    </row>
    <row r="1063" spans="2:39" x14ac:dyDescent="0.25">
      <c r="B1063" s="7" t="s">
        <v>2713</v>
      </c>
      <c r="C1063" s="1" t="s">
        <v>2713</v>
      </c>
      <c r="D1063" s="8" t="s">
        <v>2713</v>
      </c>
      <c r="E1063" s="1" t="s">
        <v>2713</v>
      </c>
      <c r="F1063" s="1" t="s">
        <v>2713</v>
      </c>
      <c r="G1063" s="1" t="s">
        <v>2713</v>
      </c>
      <c r="H1063" s="1" t="s">
        <v>2713</v>
      </c>
      <c r="I1063" s="1" t="s">
        <v>2713</v>
      </c>
      <c r="J1063" s="1" t="s">
        <v>2713</v>
      </c>
      <c r="K1063" s="1" t="s">
        <v>2713</v>
      </c>
      <c r="L1063" s="1" t="s">
        <v>2713</v>
      </c>
      <c r="M1063" s="1" t="s">
        <v>2713</v>
      </c>
      <c r="N1063" s="1" t="s">
        <v>2713</v>
      </c>
      <c r="O1063" s="1" t="s">
        <v>2713</v>
      </c>
      <c r="P1063" s="1" t="s">
        <v>2713</v>
      </c>
      <c r="Q1063" s="1" t="s">
        <v>2713</v>
      </c>
      <c r="R1063" s="1" t="s">
        <v>2713</v>
      </c>
      <c r="S1063" s="1" t="s">
        <v>2713</v>
      </c>
      <c r="T1063" s="1" t="s">
        <v>2713</v>
      </c>
      <c r="U1063" s="1" t="s">
        <v>2713</v>
      </c>
      <c r="V1063" s="1" t="s">
        <v>2713</v>
      </c>
      <c r="W1063" s="1" t="s">
        <v>2713</v>
      </c>
      <c r="X1063" s="1" t="s">
        <v>2713</v>
      </c>
      <c r="Y1063" s="1" t="s">
        <v>2713</v>
      </c>
      <c r="Z1063" s="1" t="s">
        <v>2713</v>
      </c>
      <c r="AA1063" s="1" t="s">
        <v>2713</v>
      </c>
      <c r="AB1063" s="1" t="s">
        <v>2713</v>
      </c>
      <c r="AC1063" s="1" t="s">
        <v>2713</v>
      </c>
      <c r="AD1063" s="1" t="s">
        <v>2713</v>
      </c>
      <c r="AE1063" s="1" t="s">
        <v>2713</v>
      </c>
      <c r="AF1063" s="1" t="s">
        <v>2713</v>
      </c>
      <c r="AG1063" s="1" t="s">
        <v>2713</v>
      </c>
      <c r="AH1063" s="1" t="s">
        <v>2713</v>
      </c>
      <c r="AI1063" s="1" t="s">
        <v>2713</v>
      </c>
      <c r="AJ1063" s="1" t="s">
        <v>2713</v>
      </c>
      <c r="AK1063" s="1" t="s">
        <v>2713</v>
      </c>
      <c r="AL1063" s="1" t="s">
        <v>2713</v>
      </c>
      <c r="AM1063" s="1" t="s">
        <v>2713</v>
      </c>
    </row>
    <row r="1064" spans="2:39" ht="27.6" x14ac:dyDescent="0.25">
      <c r="B1064" s="21" t="s">
        <v>1287</v>
      </c>
      <c r="C1064" s="19" t="s">
        <v>3748</v>
      </c>
      <c r="D1064" s="17"/>
      <c r="E1064" s="2"/>
      <c r="F1064" s="2"/>
      <c r="G1064" s="2"/>
      <c r="H1064" s="2"/>
      <c r="I1064" s="2"/>
      <c r="J1064" s="2"/>
      <c r="K1064" s="3">
        <f>SUM('GMIC_2020-Annu_SCDPT1'!SCDPT1_54BEGIN_7:'GMIC_2020-Annu_SCDPT1'!SCDPT1_54ENDIN_7)</f>
        <v>0</v>
      </c>
      <c r="L1064" s="2"/>
      <c r="M1064" s="3">
        <f>SUM('GMIC_2020-Annu_SCDPT1'!SCDPT1_54BEGIN_9:'GMIC_2020-Annu_SCDPT1'!SCDPT1_54ENDIN_9)</f>
        <v>0</v>
      </c>
      <c r="N1064" s="3">
        <f>SUM('GMIC_2020-Annu_SCDPT1'!SCDPT1_54BEGIN_10:'GMIC_2020-Annu_SCDPT1'!SCDPT1_54ENDIN_10)</f>
        <v>0</v>
      </c>
      <c r="O1064" s="3">
        <f>SUM('GMIC_2020-Annu_SCDPT1'!SCDPT1_54BEGIN_11:'GMIC_2020-Annu_SCDPT1'!SCDPT1_54ENDIN_11)</f>
        <v>0</v>
      </c>
      <c r="P1064" s="3">
        <f>SUM('GMIC_2020-Annu_SCDPT1'!SCDPT1_54BEGIN_12:'GMIC_2020-Annu_SCDPT1'!SCDPT1_54ENDIN_12)</f>
        <v>0</v>
      </c>
      <c r="Q1064" s="3">
        <f>SUM('GMIC_2020-Annu_SCDPT1'!SCDPT1_54BEGIN_13:'GMIC_2020-Annu_SCDPT1'!SCDPT1_54ENDIN_13)</f>
        <v>0</v>
      </c>
      <c r="R1064" s="3">
        <f>SUM('GMIC_2020-Annu_SCDPT1'!SCDPT1_54BEGIN_14:'GMIC_2020-Annu_SCDPT1'!SCDPT1_54ENDIN_14)</f>
        <v>0</v>
      </c>
      <c r="S1064" s="3">
        <f>SUM('GMIC_2020-Annu_SCDPT1'!SCDPT1_54BEGIN_15:'GMIC_2020-Annu_SCDPT1'!SCDPT1_54ENDIN_15)</f>
        <v>0</v>
      </c>
      <c r="T1064" s="2"/>
      <c r="U1064" s="2"/>
      <c r="V1064" s="2"/>
      <c r="W1064" s="3">
        <f>SUM('GMIC_2020-Annu_SCDPT1'!SCDPT1_54BEGIN_19:'GMIC_2020-Annu_SCDPT1'!SCDPT1_54ENDIN_19)</f>
        <v>0</v>
      </c>
      <c r="X1064" s="3">
        <f>SUM('GMIC_2020-Annu_SCDPT1'!SCDPT1_54BEGIN_20:'GMIC_2020-Annu_SCDPT1'!SCDPT1_54ENDIN_20)</f>
        <v>0</v>
      </c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</row>
    <row r="1065" spans="2:39" ht="27.6" x14ac:dyDescent="0.25">
      <c r="B1065" s="21" t="s">
        <v>470</v>
      </c>
      <c r="C1065" s="19" t="s">
        <v>1097</v>
      </c>
      <c r="D1065" s="17"/>
      <c r="E1065" s="2"/>
      <c r="F1065" s="2"/>
      <c r="G1065" s="2"/>
      <c r="H1065" s="2"/>
      <c r="I1065" s="2"/>
      <c r="J1065" s="2"/>
      <c r="K1065" s="3">
        <f>'GMIC_2020-Annu_SCDPT1'!SCDPT1_4999999_7+'GMIC_2020-Annu_SCDPT1'!SCDPT1_5099999_7+'GMIC_2020-Annu_SCDPT1'!SCDPT1_5199999_7+'GMIC_2020-Annu_SCDPT1'!SCDPT1_5299999_7+'GMIC_2020-Annu_SCDPT1'!SCDPT1_5399999_7+'GMIC_2020-Annu_SCDPT1'!SCDPT1_5499999_7</f>
        <v>0</v>
      </c>
      <c r="L1065" s="2"/>
      <c r="M1065" s="3">
        <f>'GMIC_2020-Annu_SCDPT1'!SCDPT1_4999999_9+'GMIC_2020-Annu_SCDPT1'!SCDPT1_5099999_9+'GMIC_2020-Annu_SCDPT1'!SCDPT1_5199999_9+'GMIC_2020-Annu_SCDPT1'!SCDPT1_5299999_9+'GMIC_2020-Annu_SCDPT1'!SCDPT1_5399999_9+'GMIC_2020-Annu_SCDPT1'!SCDPT1_5499999_9</f>
        <v>0</v>
      </c>
      <c r="N1065" s="3">
        <f>'GMIC_2020-Annu_SCDPT1'!SCDPT1_4999999_10+'GMIC_2020-Annu_SCDPT1'!SCDPT1_5099999_10+'GMIC_2020-Annu_SCDPT1'!SCDPT1_5199999_10+'GMIC_2020-Annu_SCDPT1'!SCDPT1_5299999_10+'GMIC_2020-Annu_SCDPT1'!SCDPT1_5399999_10+'GMIC_2020-Annu_SCDPT1'!SCDPT1_5499999_10</f>
        <v>0</v>
      </c>
      <c r="O1065" s="3">
        <f>'GMIC_2020-Annu_SCDPT1'!SCDPT1_4999999_11+'GMIC_2020-Annu_SCDPT1'!SCDPT1_5099999_11+'GMIC_2020-Annu_SCDPT1'!SCDPT1_5199999_11+'GMIC_2020-Annu_SCDPT1'!SCDPT1_5299999_11+'GMIC_2020-Annu_SCDPT1'!SCDPT1_5399999_11+'GMIC_2020-Annu_SCDPT1'!SCDPT1_5499999_11</f>
        <v>0</v>
      </c>
      <c r="P1065" s="3">
        <f>'GMIC_2020-Annu_SCDPT1'!SCDPT1_4999999_12+'GMIC_2020-Annu_SCDPT1'!SCDPT1_5099999_12+'GMIC_2020-Annu_SCDPT1'!SCDPT1_5199999_12+'GMIC_2020-Annu_SCDPT1'!SCDPT1_5299999_12+'GMIC_2020-Annu_SCDPT1'!SCDPT1_5399999_12+'GMIC_2020-Annu_SCDPT1'!SCDPT1_5499999_12</f>
        <v>0</v>
      </c>
      <c r="Q1065" s="3">
        <f>'GMIC_2020-Annu_SCDPT1'!SCDPT1_4999999_13+'GMIC_2020-Annu_SCDPT1'!SCDPT1_5099999_13+'GMIC_2020-Annu_SCDPT1'!SCDPT1_5199999_13+'GMIC_2020-Annu_SCDPT1'!SCDPT1_5299999_13+'GMIC_2020-Annu_SCDPT1'!SCDPT1_5399999_13+'GMIC_2020-Annu_SCDPT1'!SCDPT1_5499999_13</f>
        <v>0</v>
      </c>
      <c r="R1065" s="3">
        <f>'GMIC_2020-Annu_SCDPT1'!SCDPT1_4999999_14+'GMIC_2020-Annu_SCDPT1'!SCDPT1_5099999_14+'GMIC_2020-Annu_SCDPT1'!SCDPT1_5199999_14+'GMIC_2020-Annu_SCDPT1'!SCDPT1_5299999_14+'GMIC_2020-Annu_SCDPT1'!SCDPT1_5399999_14+'GMIC_2020-Annu_SCDPT1'!SCDPT1_5499999_14</f>
        <v>0</v>
      </c>
      <c r="S1065" s="3">
        <f>'GMIC_2020-Annu_SCDPT1'!SCDPT1_4999999_15+'GMIC_2020-Annu_SCDPT1'!SCDPT1_5099999_15+'GMIC_2020-Annu_SCDPT1'!SCDPT1_5199999_15+'GMIC_2020-Annu_SCDPT1'!SCDPT1_5299999_15+'GMIC_2020-Annu_SCDPT1'!SCDPT1_5399999_15+'GMIC_2020-Annu_SCDPT1'!SCDPT1_5499999_15</f>
        <v>0</v>
      </c>
      <c r="T1065" s="2"/>
      <c r="U1065" s="2"/>
      <c r="V1065" s="2"/>
      <c r="W1065" s="3">
        <f>'GMIC_2020-Annu_SCDPT1'!SCDPT1_4999999_19+'GMIC_2020-Annu_SCDPT1'!SCDPT1_5099999_19+'GMIC_2020-Annu_SCDPT1'!SCDPT1_5199999_19+'GMIC_2020-Annu_SCDPT1'!SCDPT1_5299999_19+'GMIC_2020-Annu_SCDPT1'!SCDPT1_5399999_19+'GMIC_2020-Annu_SCDPT1'!SCDPT1_5499999_19</f>
        <v>0</v>
      </c>
      <c r="X1065" s="3">
        <f>'GMIC_2020-Annu_SCDPT1'!SCDPT1_4999999_20+'GMIC_2020-Annu_SCDPT1'!SCDPT1_5099999_20+'GMIC_2020-Annu_SCDPT1'!SCDPT1_5199999_20+'GMIC_2020-Annu_SCDPT1'!SCDPT1_5299999_20+'GMIC_2020-Annu_SCDPT1'!SCDPT1_5399999_20+'GMIC_2020-Annu_SCDPT1'!SCDPT1_5499999_20</f>
        <v>0</v>
      </c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</row>
    <row r="1066" spans="2:39" x14ac:dyDescent="0.25">
      <c r="B1066" s="7" t="s">
        <v>2713</v>
      </c>
      <c r="C1066" s="1" t="s">
        <v>2713</v>
      </c>
      <c r="D1066" s="8" t="s">
        <v>2713</v>
      </c>
      <c r="E1066" s="1" t="s">
        <v>2713</v>
      </c>
      <c r="F1066" s="1" t="s">
        <v>2713</v>
      </c>
      <c r="G1066" s="1" t="s">
        <v>2713</v>
      </c>
      <c r="H1066" s="1" t="s">
        <v>2713</v>
      </c>
      <c r="I1066" s="1" t="s">
        <v>2713</v>
      </c>
      <c r="J1066" s="1" t="s">
        <v>2713</v>
      </c>
      <c r="K1066" s="1" t="s">
        <v>2713</v>
      </c>
      <c r="L1066" s="1" t="s">
        <v>2713</v>
      </c>
      <c r="M1066" s="1" t="s">
        <v>2713</v>
      </c>
      <c r="N1066" s="1" t="s">
        <v>2713</v>
      </c>
      <c r="O1066" s="1" t="s">
        <v>2713</v>
      </c>
      <c r="P1066" s="1" t="s">
        <v>2713</v>
      </c>
      <c r="Q1066" s="1" t="s">
        <v>2713</v>
      </c>
      <c r="R1066" s="1" t="s">
        <v>2713</v>
      </c>
      <c r="S1066" s="1" t="s">
        <v>2713</v>
      </c>
      <c r="T1066" s="1" t="s">
        <v>2713</v>
      </c>
      <c r="U1066" s="1" t="s">
        <v>2713</v>
      </c>
      <c r="V1066" s="1" t="s">
        <v>2713</v>
      </c>
      <c r="W1066" s="1" t="s">
        <v>2713</v>
      </c>
      <c r="X1066" s="1" t="s">
        <v>2713</v>
      </c>
      <c r="Y1066" s="1" t="s">
        <v>2713</v>
      </c>
      <c r="Z1066" s="1" t="s">
        <v>2713</v>
      </c>
      <c r="AA1066" s="1" t="s">
        <v>2713</v>
      </c>
      <c r="AB1066" s="1" t="s">
        <v>2713</v>
      </c>
      <c r="AC1066" s="1" t="s">
        <v>2713</v>
      </c>
      <c r="AD1066" s="1" t="s">
        <v>2713</v>
      </c>
      <c r="AE1066" s="1" t="s">
        <v>2713</v>
      </c>
      <c r="AF1066" s="1" t="s">
        <v>2713</v>
      </c>
      <c r="AG1066" s="1" t="s">
        <v>2713</v>
      </c>
      <c r="AH1066" s="1" t="s">
        <v>2713</v>
      </c>
      <c r="AI1066" s="1" t="s">
        <v>2713</v>
      </c>
      <c r="AJ1066" s="1" t="s">
        <v>2713</v>
      </c>
      <c r="AK1066" s="1" t="s">
        <v>2713</v>
      </c>
      <c r="AL1066" s="1" t="s">
        <v>2713</v>
      </c>
      <c r="AM1066" s="1" t="s">
        <v>2713</v>
      </c>
    </row>
    <row r="1067" spans="2:39" x14ac:dyDescent="0.25">
      <c r="B1067" s="18" t="s">
        <v>1288</v>
      </c>
      <c r="C1067" s="25" t="s">
        <v>3846</v>
      </c>
      <c r="D1067" s="20" t="s">
        <v>3</v>
      </c>
      <c r="E1067" s="38" t="s">
        <v>3</v>
      </c>
      <c r="F1067" s="22" t="s">
        <v>3</v>
      </c>
      <c r="G1067" s="37" t="s">
        <v>3</v>
      </c>
      <c r="H1067" s="33" t="s">
        <v>3</v>
      </c>
      <c r="I1067" s="34" t="s">
        <v>3</v>
      </c>
      <c r="J1067" s="36" t="s">
        <v>3</v>
      </c>
      <c r="K1067" s="4"/>
      <c r="L1067" s="39"/>
      <c r="M1067" s="4"/>
      <c r="N1067" s="4"/>
      <c r="O1067" s="4"/>
      <c r="P1067" s="4"/>
      <c r="Q1067" s="4"/>
      <c r="R1067" s="4"/>
      <c r="S1067" s="4"/>
      <c r="T1067" s="23"/>
      <c r="U1067" s="23"/>
      <c r="V1067" s="5" t="s">
        <v>3</v>
      </c>
      <c r="W1067" s="4"/>
      <c r="X1067" s="4"/>
      <c r="Y1067" s="6"/>
      <c r="Z1067" s="6"/>
      <c r="AA1067" s="2"/>
      <c r="AB1067" s="29" t="s">
        <v>3</v>
      </c>
      <c r="AC1067" s="5" t="s">
        <v>3</v>
      </c>
      <c r="AD1067" s="2"/>
      <c r="AE1067" s="6"/>
      <c r="AF1067" s="23"/>
      <c r="AG1067" s="6"/>
      <c r="AH1067" s="5" t="s">
        <v>3</v>
      </c>
      <c r="AI1067" s="5" t="s">
        <v>3</v>
      </c>
      <c r="AJ1067" s="5" t="s">
        <v>3</v>
      </c>
      <c r="AK1067" s="16" t="s">
        <v>3</v>
      </c>
      <c r="AL1067" s="40" t="s">
        <v>3</v>
      </c>
      <c r="AM1067" s="31" t="s">
        <v>3</v>
      </c>
    </row>
    <row r="1068" spans="2:39" x14ac:dyDescent="0.25">
      <c r="B1068" s="7" t="s">
        <v>2713</v>
      </c>
      <c r="C1068" s="1" t="s">
        <v>2713</v>
      </c>
      <c r="D1068" s="8" t="s">
        <v>2713</v>
      </c>
      <c r="E1068" s="1" t="s">
        <v>2713</v>
      </c>
      <c r="F1068" s="1" t="s">
        <v>2713</v>
      </c>
      <c r="G1068" s="1" t="s">
        <v>2713</v>
      </c>
      <c r="H1068" s="1" t="s">
        <v>2713</v>
      </c>
      <c r="I1068" s="1" t="s">
        <v>2713</v>
      </c>
      <c r="J1068" s="1" t="s">
        <v>2713</v>
      </c>
      <c r="K1068" s="1" t="s">
        <v>2713</v>
      </c>
      <c r="L1068" s="1" t="s">
        <v>2713</v>
      </c>
      <c r="M1068" s="1" t="s">
        <v>2713</v>
      </c>
      <c r="N1068" s="1" t="s">
        <v>2713</v>
      </c>
      <c r="O1068" s="1" t="s">
        <v>2713</v>
      </c>
      <c r="P1068" s="1" t="s">
        <v>2713</v>
      </c>
      <c r="Q1068" s="1" t="s">
        <v>2713</v>
      </c>
      <c r="R1068" s="1" t="s">
        <v>2713</v>
      </c>
      <c r="S1068" s="1" t="s">
        <v>2713</v>
      </c>
      <c r="T1068" s="1" t="s">
        <v>2713</v>
      </c>
      <c r="U1068" s="1" t="s">
        <v>2713</v>
      </c>
      <c r="V1068" s="1" t="s">
        <v>2713</v>
      </c>
      <c r="W1068" s="1" t="s">
        <v>2713</v>
      </c>
      <c r="X1068" s="1" t="s">
        <v>2713</v>
      </c>
      <c r="Y1068" s="1" t="s">
        <v>2713</v>
      </c>
      <c r="Z1068" s="1" t="s">
        <v>2713</v>
      </c>
      <c r="AA1068" s="1" t="s">
        <v>2713</v>
      </c>
      <c r="AB1068" s="1" t="s">
        <v>2713</v>
      </c>
      <c r="AC1068" s="1" t="s">
        <v>2713</v>
      </c>
      <c r="AD1068" s="1" t="s">
        <v>2713</v>
      </c>
      <c r="AE1068" s="1" t="s">
        <v>2713</v>
      </c>
      <c r="AF1068" s="1" t="s">
        <v>2713</v>
      </c>
      <c r="AG1068" s="1" t="s">
        <v>2713</v>
      </c>
      <c r="AH1068" s="1" t="s">
        <v>2713</v>
      </c>
      <c r="AI1068" s="1" t="s">
        <v>2713</v>
      </c>
      <c r="AJ1068" s="1" t="s">
        <v>2713</v>
      </c>
      <c r="AK1068" s="1" t="s">
        <v>2713</v>
      </c>
      <c r="AL1068" s="1" t="s">
        <v>2713</v>
      </c>
      <c r="AM1068" s="1" t="s">
        <v>2713</v>
      </c>
    </row>
    <row r="1069" spans="2:39" ht="55.2" x14ac:dyDescent="0.25">
      <c r="B1069" s="21" t="s">
        <v>2636</v>
      </c>
      <c r="C1069" s="19" t="s">
        <v>2370</v>
      </c>
      <c r="D1069" s="17"/>
      <c r="E1069" s="2"/>
      <c r="F1069" s="2"/>
      <c r="G1069" s="2"/>
      <c r="H1069" s="2"/>
      <c r="I1069" s="2"/>
      <c r="J1069" s="2"/>
      <c r="K1069" s="3">
        <f>SUM('GMIC_2020-Annu_SCDPT1'!SCDPT1_58BEGIN_7:'GMIC_2020-Annu_SCDPT1'!SCDPT1_58ENDIN_7)</f>
        <v>0</v>
      </c>
      <c r="L1069" s="2"/>
      <c r="M1069" s="3">
        <f>SUM('GMIC_2020-Annu_SCDPT1'!SCDPT1_58BEGIN_9:'GMIC_2020-Annu_SCDPT1'!SCDPT1_58ENDIN_9)</f>
        <v>0</v>
      </c>
      <c r="N1069" s="3">
        <f>SUM('GMIC_2020-Annu_SCDPT1'!SCDPT1_58BEGIN_10:'GMIC_2020-Annu_SCDPT1'!SCDPT1_58ENDIN_10)</f>
        <v>0</v>
      </c>
      <c r="O1069" s="3">
        <f>SUM('GMIC_2020-Annu_SCDPT1'!SCDPT1_58BEGIN_11:'GMIC_2020-Annu_SCDPT1'!SCDPT1_58ENDIN_11)</f>
        <v>0</v>
      </c>
      <c r="P1069" s="3">
        <f>SUM('GMIC_2020-Annu_SCDPT1'!SCDPT1_58BEGIN_12:'GMIC_2020-Annu_SCDPT1'!SCDPT1_58ENDIN_12)</f>
        <v>0</v>
      </c>
      <c r="Q1069" s="3">
        <f>SUM('GMIC_2020-Annu_SCDPT1'!SCDPT1_58BEGIN_13:'GMIC_2020-Annu_SCDPT1'!SCDPT1_58ENDIN_13)</f>
        <v>0</v>
      </c>
      <c r="R1069" s="3">
        <f>SUM('GMIC_2020-Annu_SCDPT1'!SCDPT1_58BEGIN_14:'GMIC_2020-Annu_SCDPT1'!SCDPT1_58ENDIN_14)</f>
        <v>0</v>
      </c>
      <c r="S1069" s="3">
        <f>SUM('GMIC_2020-Annu_SCDPT1'!SCDPT1_58BEGIN_15:'GMIC_2020-Annu_SCDPT1'!SCDPT1_58ENDIN_15)</f>
        <v>0</v>
      </c>
      <c r="T1069" s="2"/>
      <c r="U1069" s="2"/>
      <c r="V1069" s="2"/>
      <c r="W1069" s="3">
        <f>SUM('GMIC_2020-Annu_SCDPT1'!SCDPT1_58BEGIN_19:'GMIC_2020-Annu_SCDPT1'!SCDPT1_58ENDIN_19)</f>
        <v>0</v>
      </c>
      <c r="X1069" s="3">
        <f>SUM('GMIC_2020-Annu_SCDPT1'!SCDPT1_58BEGIN_20:'GMIC_2020-Annu_SCDPT1'!SCDPT1_58ENDIN_20)</f>
        <v>0</v>
      </c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</row>
    <row r="1070" spans="2:39" x14ac:dyDescent="0.25">
      <c r="B1070" s="7" t="s">
        <v>2713</v>
      </c>
      <c r="C1070" s="1" t="s">
        <v>2713</v>
      </c>
      <c r="D1070" s="8" t="s">
        <v>2713</v>
      </c>
      <c r="E1070" s="1" t="s">
        <v>2713</v>
      </c>
      <c r="F1070" s="1" t="s">
        <v>2713</v>
      </c>
      <c r="G1070" s="1" t="s">
        <v>2713</v>
      </c>
      <c r="H1070" s="1" t="s">
        <v>2713</v>
      </c>
      <c r="I1070" s="1" t="s">
        <v>2713</v>
      </c>
      <c r="J1070" s="1" t="s">
        <v>2713</v>
      </c>
      <c r="K1070" s="1" t="s">
        <v>2713</v>
      </c>
      <c r="L1070" s="1" t="s">
        <v>2713</v>
      </c>
      <c r="M1070" s="1" t="s">
        <v>2713</v>
      </c>
      <c r="N1070" s="1" t="s">
        <v>2713</v>
      </c>
      <c r="O1070" s="1" t="s">
        <v>2713</v>
      </c>
      <c r="P1070" s="1" t="s">
        <v>2713</v>
      </c>
      <c r="Q1070" s="1" t="s">
        <v>2713</v>
      </c>
      <c r="R1070" s="1" t="s">
        <v>2713</v>
      </c>
      <c r="S1070" s="1" t="s">
        <v>2713</v>
      </c>
      <c r="T1070" s="1" t="s">
        <v>2713</v>
      </c>
      <c r="U1070" s="1" t="s">
        <v>2713</v>
      </c>
      <c r="V1070" s="1" t="s">
        <v>2713</v>
      </c>
      <c r="W1070" s="1" t="s">
        <v>2713</v>
      </c>
      <c r="X1070" s="1" t="s">
        <v>2713</v>
      </c>
      <c r="Y1070" s="1" t="s">
        <v>2713</v>
      </c>
      <c r="Z1070" s="1" t="s">
        <v>2713</v>
      </c>
      <c r="AA1070" s="1" t="s">
        <v>2713</v>
      </c>
      <c r="AB1070" s="1" t="s">
        <v>2713</v>
      </c>
      <c r="AC1070" s="1" t="s">
        <v>2713</v>
      </c>
      <c r="AD1070" s="1" t="s">
        <v>2713</v>
      </c>
      <c r="AE1070" s="1" t="s">
        <v>2713</v>
      </c>
      <c r="AF1070" s="1" t="s">
        <v>2713</v>
      </c>
      <c r="AG1070" s="1" t="s">
        <v>2713</v>
      </c>
      <c r="AH1070" s="1" t="s">
        <v>2713</v>
      </c>
      <c r="AI1070" s="1" t="s">
        <v>2713</v>
      </c>
      <c r="AJ1070" s="1" t="s">
        <v>2713</v>
      </c>
      <c r="AK1070" s="1" t="s">
        <v>2713</v>
      </c>
      <c r="AL1070" s="1" t="s">
        <v>2713</v>
      </c>
      <c r="AM1070" s="1" t="s">
        <v>2713</v>
      </c>
    </row>
    <row r="1071" spans="2:39" x14ac:dyDescent="0.25">
      <c r="B1071" s="18" t="s">
        <v>471</v>
      </c>
      <c r="C1071" s="25" t="s">
        <v>3846</v>
      </c>
      <c r="D1071" s="20" t="s">
        <v>3</v>
      </c>
      <c r="E1071" s="38" t="s">
        <v>3</v>
      </c>
      <c r="F1071" s="22" t="s">
        <v>3</v>
      </c>
      <c r="G1071" s="37" t="s">
        <v>3</v>
      </c>
      <c r="H1071" s="33" t="s">
        <v>3</v>
      </c>
      <c r="I1071" s="34" t="s">
        <v>3</v>
      </c>
      <c r="J1071" s="36" t="s">
        <v>3</v>
      </c>
      <c r="K1071" s="4"/>
      <c r="L1071" s="39"/>
      <c r="M1071" s="4"/>
      <c r="N1071" s="4"/>
      <c r="O1071" s="4"/>
      <c r="P1071" s="4"/>
      <c r="Q1071" s="4"/>
      <c r="R1071" s="4"/>
      <c r="S1071" s="4"/>
      <c r="T1071" s="23"/>
      <c r="U1071" s="23"/>
      <c r="V1071" s="5" t="s">
        <v>3</v>
      </c>
      <c r="W1071" s="4"/>
      <c r="X1071" s="4"/>
      <c r="Y1071" s="6"/>
      <c r="Z1071" s="6"/>
      <c r="AA1071" s="2"/>
      <c r="AB1071" s="29" t="s">
        <v>3</v>
      </c>
      <c r="AC1071" s="5" t="s">
        <v>3</v>
      </c>
      <c r="AD1071" s="2"/>
      <c r="AE1071" s="6"/>
      <c r="AF1071" s="23"/>
      <c r="AG1071" s="6"/>
      <c r="AH1071" s="5" t="s">
        <v>3</v>
      </c>
      <c r="AI1071" s="5" t="s">
        <v>3</v>
      </c>
      <c r="AJ1071" s="5" t="s">
        <v>3</v>
      </c>
      <c r="AK1071" s="16" t="s">
        <v>3</v>
      </c>
      <c r="AL1071" s="40" t="s">
        <v>3</v>
      </c>
      <c r="AM1071" s="31" t="s">
        <v>3</v>
      </c>
    </row>
    <row r="1072" spans="2:39" x14ac:dyDescent="0.25">
      <c r="B1072" s="7" t="s">
        <v>2713</v>
      </c>
      <c r="C1072" s="1" t="s">
        <v>2713</v>
      </c>
      <c r="D1072" s="8" t="s">
        <v>2713</v>
      </c>
      <c r="E1072" s="1" t="s">
        <v>2713</v>
      </c>
      <c r="F1072" s="1" t="s">
        <v>2713</v>
      </c>
      <c r="G1072" s="1" t="s">
        <v>2713</v>
      </c>
      <c r="H1072" s="1" t="s">
        <v>2713</v>
      </c>
      <c r="I1072" s="1" t="s">
        <v>2713</v>
      </c>
      <c r="J1072" s="1" t="s">
        <v>2713</v>
      </c>
      <c r="K1072" s="1" t="s">
        <v>2713</v>
      </c>
      <c r="L1072" s="1" t="s">
        <v>2713</v>
      </c>
      <c r="M1072" s="1" t="s">
        <v>2713</v>
      </c>
      <c r="N1072" s="1" t="s">
        <v>2713</v>
      </c>
      <c r="O1072" s="1" t="s">
        <v>2713</v>
      </c>
      <c r="P1072" s="1" t="s">
        <v>2713</v>
      </c>
      <c r="Q1072" s="1" t="s">
        <v>2713</v>
      </c>
      <c r="R1072" s="1" t="s">
        <v>2713</v>
      </c>
      <c r="S1072" s="1" t="s">
        <v>2713</v>
      </c>
      <c r="T1072" s="1" t="s">
        <v>2713</v>
      </c>
      <c r="U1072" s="1" t="s">
        <v>2713</v>
      </c>
      <c r="V1072" s="1" t="s">
        <v>2713</v>
      </c>
      <c r="W1072" s="1" t="s">
        <v>2713</v>
      </c>
      <c r="X1072" s="1" t="s">
        <v>2713</v>
      </c>
      <c r="Y1072" s="1" t="s">
        <v>2713</v>
      </c>
      <c r="Z1072" s="1" t="s">
        <v>2713</v>
      </c>
      <c r="AA1072" s="1" t="s">
        <v>2713</v>
      </c>
      <c r="AB1072" s="1" t="s">
        <v>2713</v>
      </c>
      <c r="AC1072" s="1" t="s">
        <v>2713</v>
      </c>
      <c r="AD1072" s="1" t="s">
        <v>2713</v>
      </c>
      <c r="AE1072" s="1" t="s">
        <v>2713</v>
      </c>
      <c r="AF1072" s="1" t="s">
        <v>2713</v>
      </c>
      <c r="AG1072" s="1" t="s">
        <v>2713</v>
      </c>
      <c r="AH1072" s="1" t="s">
        <v>2713</v>
      </c>
      <c r="AI1072" s="1" t="s">
        <v>2713</v>
      </c>
      <c r="AJ1072" s="1" t="s">
        <v>2713</v>
      </c>
      <c r="AK1072" s="1" t="s">
        <v>2713</v>
      </c>
      <c r="AL1072" s="1" t="s">
        <v>2713</v>
      </c>
      <c r="AM1072" s="1" t="s">
        <v>2713</v>
      </c>
    </row>
    <row r="1073" spans="2:39" ht="55.2" x14ac:dyDescent="0.25">
      <c r="B1073" s="21" t="s">
        <v>1904</v>
      </c>
      <c r="C1073" s="19" t="s">
        <v>2172</v>
      </c>
      <c r="D1073" s="17"/>
      <c r="E1073" s="2"/>
      <c r="F1073" s="2"/>
      <c r="G1073" s="2"/>
      <c r="H1073" s="2"/>
      <c r="I1073" s="2"/>
      <c r="J1073" s="2"/>
      <c r="K1073" s="3">
        <f>SUM('GMIC_2020-Annu_SCDPT1'!SCDPT1_59BEGIN_7:'GMIC_2020-Annu_SCDPT1'!SCDPT1_59ENDIN_7)</f>
        <v>0</v>
      </c>
      <c r="L1073" s="2"/>
      <c r="M1073" s="3">
        <f>SUM('GMIC_2020-Annu_SCDPT1'!SCDPT1_59BEGIN_9:'GMIC_2020-Annu_SCDPT1'!SCDPT1_59ENDIN_9)</f>
        <v>0</v>
      </c>
      <c r="N1073" s="3">
        <f>SUM('GMIC_2020-Annu_SCDPT1'!SCDPT1_59BEGIN_10:'GMIC_2020-Annu_SCDPT1'!SCDPT1_59ENDIN_10)</f>
        <v>0</v>
      </c>
      <c r="O1073" s="3">
        <f>SUM('GMIC_2020-Annu_SCDPT1'!SCDPT1_59BEGIN_11:'GMIC_2020-Annu_SCDPT1'!SCDPT1_59ENDIN_11)</f>
        <v>0</v>
      </c>
      <c r="P1073" s="3">
        <f>SUM('GMIC_2020-Annu_SCDPT1'!SCDPT1_59BEGIN_12:'GMIC_2020-Annu_SCDPT1'!SCDPT1_59ENDIN_12)</f>
        <v>0</v>
      </c>
      <c r="Q1073" s="3">
        <f>SUM('GMIC_2020-Annu_SCDPT1'!SCDPT1_59BEGIN_13:'GMIC_2020-Annu_SCDPT1'!SCDPT1_59ENDIN_13)</f>
        <v>0</v>
      </c>
      <c r="R1073" s="3">
        <f>SUM('GMIC_2020-Annu_SCDPT1'!SCDPT1_59BEGIN_14:'GMIC_2020-Annu_SCDPT1'!SCDPT1_59ENDIN_14)</f>
        <v>0</v>
      </c>
      <c r="S1073" s="3">
        <f>SUM('GMIC_2020-Annu_SCDPT1'!SCDPT1_59BEGIN_15:'GMIC_2020-Annu_SCDPT1'!SCDPT1_59ENDIN_15)</f>
        <v>0</v>
      </c>
      <c r="T1073" s="2"/>
      <c r="U1073" s="2"/>
      <c r="V1073" s="2"/>
      <c r="W1073" s="3">
        <f>SUM('GMIC_2020-Annu_SCDPT1'!SCDPT1_59BEGIN_19:'GMIC_2020-Annu_SCDPT1'!SCDPT1_59ENDIN_19)</f>
        <v>0</v>
      </c>
      <c r="X1073" s="3">
        <f>SUM('GMIC_2020-Annu_SCDPT1'!SCDPT1_59BEGIN_20:'GMIC_2020-Annu_SCDPT1'!SCDPT1_59ENDIN_20)</f>
        <v>0</v>
      </c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</row>
    <row r="1074" spans="2:39" ht="27.6" x14ac:dyDescent="0.25">
      <c r="B1074" s="21" t="s">
        <v>2371</v>
      </c>
      <c r="C1074" s="19" t="s">
        <v>4389</v>
      </c>
      <c r="D1074" s="17"/>
      <c r="E1074" s="2"/>
      <c r="F1074" s="2"/>
      <c r="G1074" s="2"/>
      <c r="H1074" s="2"/>
      <c r="I1074" s="2"/>
      <c r="J1074" s="2"/>
      <c r="K1074" s="3">
        <f>'GMIC_2020-Annu_SCDPT1'!SCDPT1_5899999_7+'GMIC_2020-Annu_SCDPT1'!SCDPT1_5999999_7</f>
        <v>0</v>
      </c>
      <c r="L1074" s="2"/>
      <c r="M1074" s="3">
        <f>'GMIC_2020-Annu_SCDPT1'!SCDPT1_5899999_9+'GMIC_2020-Annu_SCDPT1'!SCDPT1_5999999_9</f>
        <v>0</v>
      </c>
      <c r="N1074" s="3">
        <f>'GMIC_2020-Annu_SCDPT1'!SCDPT1_5899999_10+'GMIC_2020-Annu_SCDPT1'!SCDPT1_5999999_10</f>
        <v>0</v>
      </c>
      <c r="O1074" s="3">
        <f>'GMIC_2020-Annu_SCDPT1'!SCDPT1_5899999_11+'GMIC_2020-Annu_SCDPT1'!SCDPT1_5999999_11</f>
        <v>0</v>
      </c>
      <c r="P1074" s="3">
        <f>'GMIC_2020-Annu_SCDPT1'!SCDPT1_5899999_12+'GMIC_2020-Annu_SCDPT1'!SCDPT1_5999999_12</f>
        <v>0</v>
      </c>
      <c r="Q1074" s="3">
        <f>'GMIC_2020-Annu_SCDPT1'!SCDPT1_5899999_13+'GMIC_2020-Annu_SCDPT1'!SCDPT1_5999999_13</f>
        <v>0</v>
      </c>
      <c r="R1074" s="3">
        <f>'GMIC_2020-Annu_SCDPT1'!SCDPT1_5899999_14+'GMIC_2020-Annu_SCDPT1'!SCDPT1_5999999_14</f>
        <v>0</v>
      </c>
      <c r="S1074" s="3">
        <f>'GMIC_2020-Annu_SCDPT1'!SCDPT1_5899999_15+'GMIC_2020-Annu_SCDPT1'!SCDPT1_5999999_15</f>
        <v>0</v>
      </c>
      <c r="T1074" s="2"/>
      <c r="U1074" s="2"/>
      <c r="V1074" s="2"/>
      <c r="W1074" s="3">
        <f>'GMIC_2020-Annu_SCDPT1'!SCDPT1_5899999_19+'GMIC_2020-Annu_SCDPT1'!SCDPT1_5999999_19</f>
        <v>0</v>
      </c>
      <c r="X1074" s="3">
        <f>'GMIC_2020-Annu_SCDPT1'!SCDPT1_5899999_20+'GMIC_2020-Annu_SCDPT1'!SCDPT1_5999999_20</f>
        <v>0</v>
      </c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</row>
    <row r="1075" spans="2:39" x14ac:dyDescent="0.25">
      <c r="B1075" s="7" t="s">
        <v>2713</v>
      </c>
      <c r="C1075" s="1" t="s">
        <v>2713</v>
      </c>
      <c r="D1075" s="8" t="s">
        <v>2713</v>
      </c>
      <c r="E1075" s="1" t="s">
        <v>2713</v>
      </c>
      <c r="F1075" s="1" t="s">
        <v>2713</v>
      </c>
      <c r="G1075" s="1" t="s">
        <v>2713</v>
      </c>
      <c r="H1075" s="1" t="s">
        <v>2713</v>
      </c>
      <c r="I1075" s="1" t="s">
        <v>2713</v>
      </c>
      <c r="J1075" s="1" t="s">
        <v>2713</v>
      </c>
      <c r="K1075" s="1" t="s">
        <v>2713</v>
      </c>
      <c r="L1075" s="1" t="s">
        <v>2713</v>
      </c>
      <c r="M1075" s="1" t="s">
        <v>2713</v>
      </c>
      <c r="N1075" s="1" t="s">
        <v>2713</v>
      </c>
      <c r="O1075" s="1" t="s">
        <v>2713</v>
      </c>
      <c r="P1075" s="1" t="s">
        <v>2713</v>
      </c>
      <c r="Q1075" s="1" t="s">
        <v>2713</v>
      </c>
      <c r="R1075" s="1" t="s">
        <v>2713</v>
      </c>
      <c r="S1075" s="1" t="s">
        <v>2713</v>
      </c>
      <c r="T1075" s="1" t="s">
        <v>2713</v>
      </c>
      <c r="U1075" s="1" t="s">
        <v>2713</v>
      </c>
      <c r="V1075" s="1" t="s">
        <v>2713</v>
      </c>
      <c r="W1075" s="1" t="s">
        <v>2713</v>
      </c>
      <c r="X1075" s="1" t="s">
        <v>2713</v>
      </c>
      <c r="Y1075" s="1" t="s">
        <v>2713</v>
      </c>
      <c r="Z1075" s="1" t="s">
        <v>2713</v>
      </c>
      <c r="AA1075" s="1" t="s">
        <v>2713</v>
      </c>
      <c r="AB1075" s="1" t="s">
        <v>2713</v>
      </c>
      <c r="AC1075" s="1" t="s">
        <v>2713</v>
      </c>
      <c r="AD1075" s="1" t="s">
        <v>2713</v>
      </c>
      <c r="AE1075" s="1" t="s">
        <v>2713</v>
      </c>
      <c r="AF1075" s="1" t="s">
        <v>2713</v>
      </c>
      <c r="AG1075" s="1" t="s">
        <v>2713</v>
      </c>
      <c r="AH1075" s="1" t="s">
        <v>2713</v>
      </c>
      <c r="AI1075" s="1" t="s">
        <v>2713</v>
      </c>
      <c r="AJ1075" s="1" t="s">
        <v>2713</v>
      </c>
      <c r="AK1075" s="1" t="s">
        <v>2713</v>
      </c>
      <c r="AL1075" s="1" t="s">
        <v>2713</v>
      </c>
      <c r="AM1075" s="1" t="s">
        <v>2713</v>
      </c>
    </row>
    <row r="1076" spans="2:39" x14ac:dyDescent="0.25">
      <c r="B1076" s="18" t="s">
        <v>3257</v>
      </c>
      <c r="C1076" s="25" t="s">
        <v>3846</v>
      </c>
      <c r="D1076" s="20" t="s">
        <v>3</v>
      </c>
      <c r="E1076" s="38" t="s">
        <v>3</v>
      </c>
      <c r="F1076" s="22" t="s">
        <v>3</v>
      </c>
      <c r="G1076" s="37" t="s">
        <v>3</v>
      </c>
      <c r="H1076" s="33" t="s">
        <v>3</v>
      </c>
      <c r="I1076" s="34" t="s">
        <v>3</v>
      </c>
      <c r="J1076" s="36" t="s">
        <v>3</v>
      </c>
      <c r="K1076" s="4"/>
      <c r="L1076" s="39"/>
      <c r="M1076" s="4"/>
      <c r="N1076" s="4"/>
      <c r="O1076" s="4"/>
      <c r="P1076" s="4"/>
      <c r="Q1076" s="4"/>
      <c r="R1076" s="4"/>
      <c r="S1076" s="4"/>
      <c r="T1076" s="23"/>
      <c r="U1076" s="23"/>
      <c r="V1076" s="5" t="s">
        <v>3</v>
      </c>
      <c r="W1076" s="4"/>
      <c r="X1076" s="4"/>
      <c r="Y1076" s="6"/>
      <c r="Z1076" s="6"/>
      <c r="AA1076" s="2"/>
      <c r="AB1076" s="29" t="s">
        <v>3</v>
      </c>
      <c r="AC1076" s="5" t="s">
        <v>3</v>
      </c>
      <c r="AD1076" s="2"/>
      <c r="AE1076" s="6"/>
      <c r="AF1076" s="23"/>
      <c r="AG1076" s="6"/>
      <c r="AH1076" s="5" t="s">
        <v>3</v>
      </c>
      <c r="AI1076" s="5" t="s">
        <v>3</v>
      </c>
      <c r="AJ1076" s="5" t="s">
        <v>3</v>
      </c>
      <c r="AK1076" s="16" t="s">
        <v>3</v>
      </c>
      <c r="AL1076" s="40" t="s">
        <v>3</v>
      </c>
      <c r="AM1076" s="31" t="s">
        <v>3</v>
      </c>
    </row>
    <row r="1077" spans="2:39" x14ac:dyDescent="0.25">
      <c r="B1077" s="7" t="s">
        <v>2713</v>
      </c>
      <c r="C1077" s="1" t="s">
        <v>2713</v>
      </c>
      <c r="D1077" s="8" t="s">
        <v>2713</v>
      </c>
      <c r="E1077" s="1" t="s">
        <v>2713</v>
      </c>
      <c r="F1077" s="1" t="s">
        <v>2713</v>
      </c>
      <c r="G1077" s="1" t="s">
        <v>2713</v>
      </c>
      <c r="H1077" s="1" t="s">
        <v>2713</v>
      </c>
      <c r="I1077" s="1" t="s">
        <v>2713</v>
      </c>
      <c r="J1077" s="1" t="s">
        <v>2713</v>
      </c>
      <c r="K1077" s="1" t="s">
        <v>2713</v>
      </c>
      <c r="L1077" s="1" t="s">
        <v>2713</v>
      </c>
      <c r="M1077" s="1" t="s">
        <v>2713</v>
      </c>
      <c r="N1077" s="1" t="s">
        <v>2713</v>
      </c>
      <c r="O1077" s="1" t="s">
        <v>2713</v>
      </c>
      <c r="P1077" s="1" t="s">
        <v>2713</v>
      </c>
      <c r="Q1077" s="1" t="s">
        <v>2713</v>
      </c>
      <c r="R1077" s="1" t="s">
        <v>2713</v>
      </c>
      <c r="S1077" s="1" t="s">
        <v>2713</v>
      </c>
      <c r="T1077" s="1" t="s">
        <v>2713</v>
      </c>
      <c r="U1077" s="1" t="s">
        <v>2713</v>
      </c>
      <c r="V1077" s="1" t="s">
        <v>2713</v>
      </c>
      <c r="W1077" s="1" t="s">
        <v>2713</v>
      </c>
      <c r="X1077" s="1" t="s">
        <v>2713</v>
      </c>
      <c r="Y1077" s="1" t="s">
        <v>2713</v>
      </c>
      <c r="Z1077" s="1" t="s">
        <v>2713</v>
      </c>
      <c r="AA1077" s="1" t="s">
        <v>2713</v>
      </c>
      <c r="AB1077" s="1" t="s">
        <v>2713</v>
      </c>
      <c r="AC1077" s="1" t="s">
        <v>2713</v>
      </c>
      <c r="AD1077" s="1" t="s">
        <v>2713</v>
      </c>
      <c r="AE1077" s="1" t="s">
        <v>2713</v>
      </c>
      <c r="AF1077" s="1" t="s">
        <v>2713</v>
      </c>
      <c r="AG1077" s="1" t="s">
        <v>2713</v>
      </c>
      <c r="AH1077" s="1" t="s">
        <v>2713</v>
      </c>
      <c r="AI1077" s="1" t="s">
        <v>2713</v>
      </c>
      <c r="AJ1077" s="1" t="s">
        <v>2713</v>
      </c>
      <c r="AK1077" s="1" t="s">
        <v>2713</v>
      </c>
      <c r="AL1077" s="1" t="s">
        <v>2713</v>
      </c>
      <c r="AM1077" s="1" t="s">
        <v>2713</v>
      </c>
    </row>
    <row r="1078" spans="2:39" ht="27.6" x14ac:dyDescent="0.25">
      <c r="B1078" s="21" t="s">
        <v>179</v>
      </c>
      <c r="C1078" s="19" t="s">
        <v>4114</v>
      </c>
      <c r="D1078" s="17"/>
      <c r="E1078" s="2"/>
      <c r="F1078" s="2"/>
      <c r="G1078" s="2"/>
      <c r="H1078" s="2"/>
      <c r="I1078" s="2"/>
      <c r="J1078" s="2"/>
      <c r="K1078" s="3">
        <f>SUM('GMIC_2020-Annu_SCDPT1'!SCDPT1_63BEGIN_7:'GMIC_2020-Annu_SCDPT1'!SCDPT1_63ENDIN_7)</f>
        <v>0</v>
      </c>
      <c r="L1078" s="2"/>
      <c r="M1078" s="3">
        <f>SUM('GMIC_2020-Annu_SCDPT1'!SCDPT1_63BEGIN_9:'GMIC_2020-Annu_SCDPT1'!SCDPT1_63ENDIN_9)</f>
        <v>0</v>
      </c>
      <c r="N1078" s="3">
        <f>SUM('GMIC_2020-Annu_SCDPT1'!SCDPT1_63BEGIN_10:'GMIC_2020-Annu_SCDPT1'!SCDPT1_63ENDIN_10)</f>
        <v>0</v>
      </c>
      <c r="O1078" s="3">
        <f>SUM('GMIC_2020-Annu_SCDPT1'!SCDPT1_63BEGIN_11:'GMIC_2020-Annu_SCDPT1'!SCDPT1_63ENDIN_11)</f>
        <v>0</v>
      </c>
      <c r="P1078" s="3">
        <f>SUM('GMIC_2020-Annu_SCDPT1'!SCDPT1_63BEGIN_12:'GMIC_2020-Annu_SCDPT1'!SCDPT1_63ENDIN_12)</f>
        <v>0</v>
      </c>
      <c r="Q1078" s="3">
        <f>SUM('GMIC_2020-Annu_SCDPT1'!SCDPT1_63BEGIN_13:'GMIC_2020-Annu_SCDPT1'!SCDPT1_63ENDIN_13)</f>
        <v>0</v>
      </c>
      <c r="R1078" s="3">
        <f>SUM('GMIC_2020-Annu_SCDPT1'!SCDPT1_63BEGIN_14:'GMIC_2020-Annu_SCDPT1'!SCDPT1_63ENDIN_14)</f>
        <v>0</v>
      </c>
      <c r="S1078" s="3">
        <f>SUM('GMIC_2020-Annu_SCDPT1'!SCDPT1_63BEGIN_15:'GMIC_2020-Annu_SCDPT1'!SCDPT1_63ENDIN_15)</f>
        <v>0</v>
      </c>
      <c r="T1078" s="2"/>
      <c r="U1078" s="2"/>
      <c r="V1078" s="2"/>
      <c r="W1078" s="3">
        <f>SUM('GMIC_2020-Annu_SCDPT1'!SCDPT1_63BEGIN_19:'GMIC_2020-Annu_SCDPT1'!SCDPT1_63ENDIN_19)</f>
        <v>0</v>
      </c>
      <c r="X1078" s="3">
        <f>SUM('GMIC_2020-Annu_SCDPT1'!SCDPT1_63BEGIN_20:'GMIC_2020-Annu_SCDPT1'!SCDPT1_63ENDIN_20)</f>
        <v>0</v>
      </c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</row>
    <row r="1079" spans="2:39" x14ac:dyDescent="0.25">
      <c r="B1079" s="7" t="s">
        <v>2713</v>
      </c>
      <c r="C1079" s="1" t="s">
        <v>2713</v>
      </c>
      <c r="D1079" s="8" t="s">
        <v>2713</v>
      </c>
      <c r="E1079" s="1" t="s">
        <v>2713</v>
      </c>
      <c r="F1079" s="1" t="s">
        <v>2713</v>
      </c>
      <c r="G1079" s="1" t="s">
        <v>2713</v>
      </c>
      <c r="H1079" s="1" t="s">
        <v>2713</v>
      </c>
      <c r="I1079" s="1" t="s">
        <v>2713</v>
      </c>
      <c r="J1079" s="1" t="s">
        <v>2713</v>
      </c>
      <c r="K1079" s="1" t="s">
        <v>2713</v>
      </c>
      <c r="L1079" s="1" t="s">
        <v>2713</v>
      </c>
      <c r="M1079" s="1" t="s">
        <v>2713</v>
      </c>
      <c r="N1079" s="1" t="s">
        <v>2713</v>
      </c>
      <c r="O1079" s="1" t="s">
        <v>2713</v>
      </c>
      <c r="P1079" s="1" t="s">
        <v>2713</v>
      </c>
      <c r="Q1079" s="1" t="s">
        <v>2713</v>
      </c>
      <c r="R1079" s="1" t="s">
        <v>2713</v>
      </c>
      <c r="S1079" s="1" t="s">
        <v>2713</v>
      </c>
      <c r="T1079" s="1" t="s">
        <v>2713</v>
      </c>
      <c r="U1079" s="1" t="s">
        <v>2713</v>
      </c>
      <c r="V1079" s="1" t="s">
        <v>2713</v>
      </c>
      <c r="W1079" s="1" t="s">
        <v>2713</v>
      </c>
      <c r="X1079" s="1" t="s">
        <v>2713</v>
      </c>
      <c r="Y1079" s="1" t="s">
        <v>2713</v>
      </c>
      <c r="Z1079" s="1" t="s">
        <v>2713</v>
      </c>
      <c r="AA1079" s="1" t="s">
        <v>2713</v>
      </c>
      <c r="AB1079" s="1" t="s">
        <v>2713</v>
      </c>
      <c r="AC1079" s="1" t="s">
        <v>2713</v>
      </c>
      <c r="AD1079" s="1" t="s">
        <v>2713</v>
      </c>
      <c r="AE1079" s="1" t="s">
        <v>2713</v>
      </c>
      <c r="AF1079" s="1" t="s">
        <v>2713</v>
      </c>
      <c r="AG1079" s="1" t="s">
        <v>2713</v>
      </c>
      <c r="AH1079" s="1" t="s">
        <v>2713</v>
      </c>
      <c r="AI1079" s="1" t="s">
        <v>2713</v>
      </c>
      <c r="AJ1079" s="1" t="s">
        <v>2713</v>
      </c>
      <c r="AK1079" s="1" t="s">
        <v>2713</v>
      </c>
      <c r="AL1079" s="1" t="s">
        <v>2713</v>
      </c>
      <c r="AM1079" s="1" t="s">
        <v>2713</v>
      </c>
    </row>
    <row r="1080" spans="2:39" x14ac:dyDescent="0.25">
      <c r="B1080" s="18" t="s">
        <v>2372</v>
      </c>
      <c r="C1080" s="25" t="s">
        <v>3846</v>
      </c>
      <c r="D1080" s="20" t="s">
        <v>3</v>
      </c>
      <c r="E1080" s="38" t="s">
        <v>3</v>
      </c>
      <c r="F1080" s="22" t="s">
        <v>3</v>
      </c>
      <c r="G1080" s="37" t="s">
        <v>3</v>
      </c>
      <c r="H1080" s="33" t="s">
        <v>3</v>
      </c>
      <c r="I1080" s="34" t="s">
        <v>3</v>
      </c>
      <c r="J1080" s="36" t="s">
        <v>3</v>
      </c>
      <c r="K1080" s="4"/>
      <c r="L1080" s="39"/>
      <c r="M1080" s="4"/>
      <c r="N1080" s="4"/>
      <c r="O1080" s="4"/>
      <c r="P1080" s="4"/>
      <c r="Q1080" s="4"/>
      <c r="R1080" s="4"/>
      <c r="S1080" s="4"/>
      <c r="T1080" s="23"/>
      <c r="U1080" s="23"/>
      <c r="V1080" s="5" t="s">
        <v>3</v>
      </c>
      <c r="W1080" s="4"/>
      <c r="X1080" s="4"/>
      <c r="Y1080" s="6"/>
      <c r="Z1080" s="6"/>
      <c r="AA1080" s="2"/>
      <c r="AB1080" s="29" t="s">
        <v>3</v>
      </c>
      <c r="AC1080" s="5" t="s">
        <v>3</v>
      </c>
      <c r="AD1080" s="2"/>
      <c r="AE1080" s="6"/>
      <c r="AF1080" s="23"/>
      <c r="AG1080" s="6"/>
      <c r="AH1080" s="5" t="s">
        <v>3</v>
      </c>
      <c r="AI1080" s="5" t="s">
        <v>3</v>
      </c>
      <c r="AJ1080" s="5" t="s">
        <v>3</v>
      </c>
      <c r="AK1080" s="16" t="s">
        <v>3</v>
      </c>
      <c r="AL1080" s="40" t="s">
        <v>3</v>
      </c>
      <c r="AM1080" s="31" t="s">
        <v>3</v>
      </c>
    </row>
    <row r="1081" spans="2:39" x14ac:dyDescent="0.25">
      <c r="B1081" s="7" t="s">
        <v>2713</v>
      </c>
      <c r="C1081" s="1" t="s">
        <v>2713</v>
      </c>
      <c r="D1081" s="8" t="s">
        <v>2713</v>
      </c>
      <c r="E1081" s="1" t="s">
        <v>2713</v>
      </c>
      <c r="F1081" s="1" t="s">
        <v>2713</v>
      </c>
      <c r="G1081" s="1" t="s">
        <v>2713</v>
      </c>
      <c r="H1081" s="1" t="s">
        <v>2713</v>
      </c>
      <c r="I1081" s="1" t="s">
        <v>2713</v>
      </c>
      <c r="J1081" s="1" t="s">
        <v>2713</v>
      </c>
      <c r="K1081" s="1" t="s">
        <v>2713</v>
      </c>
      <c r="L1081" s="1" t="s">
        <v>2713</v>
      </c>
      <c r="M1081" s="1" t="s">
        <v>2713</v>
      </c>
      <c r="N1081" s="1" t="s">
        <v>2713</v>
      </c>
      <c r="O1081" s="1" t="s">
        <v>2713</v>
      </c>
      <c r="P1081" s="1" t="s">
        <v>2713</v>
      </c>
      <c r="Q1081" s="1" t="s">
        <v>2713</v>
      </c>
      <c r="R1081" s="1" t="s">
        <v>2713</v>
      </c>
      <c r="S1081" s="1" t="s">
        <v>2713</v>
      </c>
      <c r="T1081" s="1" t="s">
        <v>2713</v>
      </c>
      <c r="U1081" s="1" t="s">
        <v>2713</v>
      </c>
      <c r="V1081" s="1" t="s">
        <v>2713</v>
      </c>
      <c r="W1081" s="1" t="s">
        <v>2713</v>
      </c>
      <c r="X1081" s="1" t="s">
        <v>2713</v>
      </c>
      <c r="Y1081" s="1" t="s">
        <v>2713</v>
      </c>
      <c r="Z1081" s="1" t="s">
        <v>2713</v>
      </c>
      <c r="AA1081" s="1" t="s">
        <v>2713</v>
      </c>
      <c r="AB1081" s="1" t="s">
        <v>2713</v>
      </c>
      <c r="AC1081" s="1" t="s">
        <v>2713</v>
      </c>
      <c r="AD1081" s="1" t="s">
        <v>2713</v>
      </c>
      <c r="AE1081" s="1" t="s">
        <v>2713</v>
      </c>
      <c r="AF1081" s="1" t="s">
        <v>2713</v>
      </c>
      <c r="AG1081" s="1" t="s">
        <v>2713</v>
      </c>
      <c r="AH1081" s="1" t="s">
        <v>2713</v>
      </c>
      <c r="AI1081" s="1" t="s">
        <v>2713</v>
      </c>
      <c r="AJ1081" s="1" t="s">
        <v>2713</v>
      </c>
      <c r="AK1081" s="1" t="s">
        <v>2713</v>
      </c>
      <c r="AL1081" s="1" t="s">
        <v>2713</v>
      </c>
      <c r="AM1081" s="1" t="s">
        <v>2713</v>
      </c>
    </row>
    <row r="1082" spans="2:39" ht="27.6" x14ac:dyDescent="0.25">
      <c r="B1082" s="21" t="s">
        <v>3749</v>
      </c>
      <c r="C1082" s="19" t="s">
        <v>3750</v>
      </c>
      <c r="D1082" s="17"/>
      <c r="E1082" s="2"/>
      <c r="F1082" s="2"/>
      <c r="G1082" s="2"/>
      <c r="H1082" s="2"/>
      <c r="I1082" s="2"/>
      <c r="J1082" s="2"/>
      <c r="K1082" s="3">
        <f>SUM('GMIC_2020-Annu_SCDPT1'!SCDPT1_64BEGIN_7:'GMIC_2020-Annu_SCDPT1'!SCDPT1_64ENDIN_7)</f>
        <v>0</v>
      </c>
      <c r="L1082" s="2"/>
      <c r="M1082" s="3">
        <f>SUM('GMIC_2020-Annu_SCDPT1'!SCDPT1_64BEGIN_9:'GMIC_2020-Annu_SCDPT1'!SCDPT1_64ENDIN_9)</f>
        <v>0</v>
      </c>
      <c r="N1082" s="3">
        <f>SUM('GMIC_2020-Annu_SCDPT1'!SCDPT1_64BEGIN_10:'GMIC_2020-Annu_SCDPT1'!SCDPT1_64ENDIN_10)</f>
        <v>0</v>
      </c>
      <c r="O1082" s="3">
        <f>SUM('GMIC_2020-Annu_SCDPT1'!SCDPT1_64BEGIN_11:'GMIC_2020-Annu_SCDPT1'!SCDPT1_64ENDIN_11)</f>
        <v>0</v>
      </c>
      <c r="P1082" s="3">
        <f>SUM('GMIC_2020-Annu_SCDPT1'!SCDPT1_64BEGIN_12:'GMIC_2020-Annu_SCDPT1'!SCDPT1_64ENDIN_12)</f>
        <v>0</v>
      </c>
      <c r="Q1082" s="3">
        <f>SUM('GMIC_2020-Annu_SCDPT1'!SCDPT1_64BEGIN_13:'GMIC_2020-Annu_SCDPT1'!SCDPT1_64ENDIN_13)</f>
        <v>0</v>
      </c>
      <c r="R1082" s="3">
        <f>SUM('GMIC_2020-Annu_SCDPT1'!SCDPT1_64BEGIN_14:'GMIC_2020-Annu_SCDPT1'!SCDPT1_64ENDIN_14)</f>
        <v>0</v>
      </c>
      <c r="S1082" s="3">
        <f>SUM('GMIC_2020-Annu_SCDPT1'!SCDPT1_64BEGIN_15:'GMIC_2020-Annu_SCDPT1'!SCDPT1_64ENDIN_15)</f>
        <v>0</v>
      </c>
      <c r="T1082" s="2"/>
      <c r="U1082" s="2"/>
      <c r="V1082" s="2"/>
      <c r="W1082" s="3">
        <f>SUM('GMIC_2020-Annu_SCDPT1'!SCDPT1_64BEGIN_19:'GMIC_2020-Annu_SCDPT1'!SCDPT1_64ENDIN_19)</f>
        <v>0</v>
      </c>
      <c r="X1082" s="3">
        <f>SUM('GMIC_2020-Annu_SCDPT1'!SCDPT1_64BEGIN_20:'GMIC_2020-Annu_SCDPT1'!SCDPT1_64ENDIN_20)</f>
        <v>0</v>
      </c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</row>
    <row r="1083" spans="2:39" ht="27.6" x14ac:dyDescent="0.25">
      <c r="B1083" s="21" t="s">
        <v>3258</v>
      </c>
      <c r="C1083" s="19" t="s">
        <v>1905</v>
      </c>
      <c r="D1083" s="17"/>
      <c r="E1083" s="2"/>
      <c r="F1083" s="2"/>
      <c r="G1083" s="2"/>
      <c r="H1083" s="2"/>
      <c r="I1083" s="2"/>
      <c r="J1083" s="2"/>
      <c r="K1083" s="3">
        <f>'GMIC_2020-Annu_SCDPT1'!SCDPT1_6399999_7+'GMIC_2020-Annu_SCDPT1'!SCDPT1_6499999_7</f>
        <v>0</v>
      </c>
      <c r="L1083" s="2"/>
      <c r="M1083" s="3">
        <f>'GMIC_2020-Annu_SCDPT1'!SCDPT1_6399999_9+'GMIC_2020-Annu_SCDPT1'!SCDPT1_6499999_9</f>
        <v>0</v>
      </c>
      <c r="N1083" s="3">
        <f>'GMIC_2020-Annu_SCDPT1'!SCDPT1_6399999_10+'GMIC_2020-Annu_SCDPT1'!SCDPT1_6499999_10</f>
        <v>0</v>
      </c>
      <c r="O1083" s="3">
        <f>'GMIC_2020-Annu_SCDPT1'!SCDPT1_6399999_11+'GMIC_2020-Annu_SCDPT1'!SCDPT1_6499999_11</f>
        <v>0</v>
      </c>
      <c r="P1083" s="3">
        <f>'GMIC_2020-Annu_SCDPT1'!SCDPT1_6399999_12+'GMIC_2020-Annu_SCDPT1'!SCDPT1_6499999_12</f>
        <v>0</v>
      </c>
      <c r="Q1083" s="3">
        <f>'GMIC_2020-Annu_SCDPT1'!SCDPT1_6399999_13+'GMIC_2020-Annu_SCDPT1'!SCDPT1_6499999_13</f>
        <v>0</v>
      </c>
      <c r="R1083" s="3">
        <f>'GMIC_2020-Annu_SCDPT1'!SCDPT1_6399999_14+'GMIC_2020-Annu_SCDPT1'!SCDPT1_6499999_14</f>
        <v>0</v>
      </c>
      <c r="S1083" s="3">
        <f>'GMIC_2020-Annu_SCDPT1'!SCDPT1_6399999_15+'GMIC_2020-Annu_SCDPT1'!SCDPT1_6499999_15</f>
        <v>0</v>
      </c>
      <c r="T1083" s="2"/>
      <c r="U1083" s="2"/>
      <c r="V1083" s="2"/>
      <c r="W1083" s="3">
        <f>'GMIC_2020-Annu_SCDPT1'!SCDPT1_6399999_19+'GMIC_2020-Annu_SCDPT1'!SCDPT1_6499999_19</f>
        <v>0</v>
      </c>
      <c r="X1083" s="3">
        <f>'GMIC_2020-Annu_SCDPT1'!SCDPT1_6399999_20+'GMIC_2020-Annu_SCDPT1'!SCDPT1_6499999_20</f>
        <v>0</v>
      </c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</row>
    <row r="1084" spans="2:39" x14ac:dyDescent="0.25">
      <c r="B1084" s="21" t="s">
        <v>808</v>
      </c>
      <c r="C1084" s="19" t="s">
        <v>4390</v>
      </c>
      <c r="D1084" s="17"/>
      <c r="E1084" s="2"/>
      <c r="F1084" s="2"/>
      <c r="G1084" s="2"/>
      <c r="H1084" s="2"/>
      <c r="I1084" s="2"/>
      <c r="J1084" s="2"/>
      <c r="K1084" s="3">
        <f>'GMIC_2020-Annu_SCDPT1'!SCDPT1_0199999_7+'GMIC_2020-Annu_SCDPT1'!SCDPT1_0699999_7+'GMIC_2020-Annu_SCDPT1'!SCDPT1_1199999_7+'GMIC_2020-Annu_SCDPT1'!SCDPT1_1899999_7+'GMIC_2020-Annu_SCDPT1'!SCDPT1_2599999_7+'GMIC_2020-Annu_SCDPT1'!SCDPT1_3299999_7+'GMIC_2020-Annu_SCDPT1'!SCDPT1_4299999_7+'GMIC_2020-Annu_SCDPT1'!SCDPT1_4999999_7</f>
        <v>3500421699</v>
      </c>
      <c r="L1084" s="2"/>
      <c r="M1084" s="3">
        <f>'GMIC_2020-Annu_SCDPT1'!SCDPT1_0199999_9+'GMIC_2020-Annu_SCDPT1'!SCDPT1_0699999_9+'GMIC_2020-Annu_SCDPT1'!SCDPT1_1199999_9+'GMIC_2020-Annu_SCDPT1'!SCDPT1_1899999_9+'GMIC_2020-Annu_SCDPT1'!SCDPT1_2599999_9+'GMIC_2020-Annu_SCDPT1'!SCDPT1_3299999_9+'GMIC_2020-Annu_SCDPT1'!SCDPT1_4299999_9+'GMIC_2020-Annu_SCDPT1'!SCDPT1_4999999_9</f>
        <v>3744652940</v>
      </c>
      <c r="N1084" s="3">
        <f>'GMIC_2020-Annu_SCDPT1'!SCDPT1_0199999_10+'GMIC_2020-Annu_SCDPT1'!SCDPT1_0699999_10+'GMIC_2020-Annu_SCDPT1'!SCDPT1_1199999_10+'GMIC_2020-Annu_SCDPT1'!SCDPT1_1899999_10+'GMIC_2020-Annu_SCDPT1'!SCDPT1_2599999_10+'GMIC_2020-Annu_SCDPT1'!SCDPT1_3299999_10+'GMIC_2020-Annu_SCDPT1'!SCDPT1_4299999_10+'GMIC_2020-Annu_SCDPT1'!SCDPT1_4999999_10</f>
        <v>3509121661</v>
      </c>
      <c r="O1084" s="3">
        <f>'GMIC_2020-Annu_SCDPT1'!SCDPT1_0199999_11+'GMIC_2020-Annu_SCDPT1'!SCDPT1_0699999_11+'GMIC_2020-Annu_SCDPT1'!SCDPT1_1199999_11+'GMIC_2020-Annu_SCDPT1'!SCDPT1_1899999_11+'GMIC_2020-Annu_SCDPT1'!SCDPT1_2599999_11+'GMIC_2020-Annu_SCDPT1'!SCDPT1_3299999_11+'GMIC_2020-Annu_SCDPT1'!SCDPT1_4299999_11+'GMIC_2020-Annu_SCDPT1'!SCDPT1_4999999_11</f>
        <v>3505420013</v>
      </c>
      <c r="P1084" s="3">
        <f>'GMIC_2020-Annu_SCDPT1'!SCDPT1_0199999_12+'GMIC_2020-Annu_SCDPT1'!SCDPT1_0699999_12+'GMIC_2020-Annu_SCDPT1'!SCDPT1_1199999_12+'GMIC_2020-Annu_SCDPT1'!SCDPT1_1899999_12+'GMIC_2020-Annu_SCDPT1'!SCDPT1_2599999_12+'GMIC_2020-Annu_SCDPT1'!SCDPT1_3299999_12+'GMIC_2020-Annu_SCDPT1'!SCDPT1_4299999_12+'GMIC_2020-Annu_SCDPT1'!SCDPT1_4999999_12</f>
        <v>-2180815</v>
      </c>
      <c r="Q1084" s="3">
        <f>'GMIC_2020-Annu_SCDPT1'!SCDPT1_0199999_13+'GMIC_2020-Annu_SCDPT1'!SCDPT1_0699999_13+'GMIC_2020-Annu_SCDPT1'!SCDPT1_1199999_13+'GMIC_2020-Annu_SCDPT1'!SCDPT1_1899999_13+'GMIC_2020-Annu_SCDPT1'!SCDPT1_2599999_13+'GMIC_2020-Annu_SCDPT1'!SCDPT1_3299999_13+'GMIC_2020-Annu_SCDPT1'!SCDPT1_4299999_13+'GMIC_2020-Annu_SCDPT1'!SCDPT1_4999999_13</f>
        <v>167588</v>
      </c>
      <c r="R1084" s="3">
        <f>'GMIC_2020-Annu_SCDPT1'!SCDPT1_0199999_14+'GMIC_2020-Annu_SCDPT1'!SCDPT1_0699999_14+'GMIC_2020-Annu_SCDPT1'!SCDPT1_1199999_14+'GMIC_2020-Annu_SCDPT1'!SCDPT1_1899999_14+'GMIC_2020-Annu_SCDPT1'!SCDPT1_2599999_14+'GMIC_2020-Annu_SCDPT1'!SCDPT1_3299999_14+'GMIC_2020-Annu_SCDPT1'!SCDPT1_4299999_14+'GMIC_2020-Annu_SCDPT1'!SCDPT1_4999999_14</f>
        <v>0</v>
      </c>
      <c r="S1084" s="3">
        <f>'GMIC_2020-Annu_SCDPT1'!SCDPT1_0199999_15+'GMIC_2020-Annu_SCDPT1'!SCDPT1_0699999_15+'GMIC_2020-Annu_SCDPT1'!SCDPT1_1199999_15+'GMIC_2020-Annu_SCDPT1'!SCDPT1_1899999_15+'GMIC_2020-Annu_SCDPT1'!SCDPT1_2599999_15+'GMIC_2020-Annu_SCDPT1'!SCDPT1_3299999_15+'GMIC_2020-Annu_SCDPT1'!SCDPT1_4299999_15+'GMIC_2020-Annu_SCDPT1'!SCDPT1_4999999_15</f>
        <v>0</v>
      </c>
      <c r="T1084" s="2"/>
      <c r="U1084" s="2"/>
      <c r="V1084" s="2"/>
      <c r="W1084" s="3">
        <f>'GMIC_2020-Annu_SCDPT1'!SCDPT1_0199999_19+'GMIC_2020-Annu_SCDPT1'!SCDPT1_0699999_19+'GMIC_2020-Annu_SCDPT1'!SCDPT1_1199999_19+'GMIC_2020-Annu_SCDPT1'!SCDPT1_1899999_19+'GMIC_2020-Annu_SCDPT1'!SCDPT1_2599999_19+'GMIC_2020-Annu_SCDPT1'!SCDPT1_3299999_19+'GMIC_2020-Annu_SCDPT1'!SCDPT1_4299999_19+'GMIC_2020-Annu_SCDPT1'!SCDPT1_4999999_19</f>
        <v>26862124</v>
      </c>
      <c r="X1084" s="3">
        <f>'GMIC_2020-Annu_SCDPT1'!SCDPT1_0199999_20+'GMIC_2020-Annu_SCDPT1'!SCDPT1_0699999_20+'GMIC_2020-Annu_SCDPT1'!SCDPT1_1199999_20+'GMIC_2020-Annu_SCDPT1'!SCDPT1_1899999_20+'GMIC_2020-Annu_SCDPT1'!SCDPT1_2599999_20+'GMIC_2020-Annu_SCDPT1'!SCDPT1_3299999_20+'GMIC_2020-Annu_SCDPT1'!SCDPT1_4299999_20+'GMIC_2020-Annu_SCDPT1'!SCDPT1_4999999_20</f>
        <v>85725505</v>
      </c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</row>
    <row r="1085" spans="2:39" ht="27.6" x14ac:dyDescent="0.25">
      <c r="B1085" s="21" t="s">
        <v>4391</v>
      </c>
      <c r="C1085" s="19" t="s">
        <v>3751</v>
      </c>
      <c r="D1085" s="17"/>
      <c r="E1085" s="2"/>
      <c r="F1085" s="2"/>
      <c r="G1085" s="2"/>
      <c r="H1085" s="2"/>
      <c r="I1085" s="2"/>
      <c r="J1085" s="2"/>
      <c r="K1085" s="3">
        <f>'GMIC_2020-Annu_SCDPT1'!SCDPT1_0299999_7+'GMIC_2020-Annu_SCDPT1'!SCDPT1_0799999_7+'GMIC_2020-Annu_SCDPT1'!SCDPT1_1299999_7+'GMIC_2020-Annu_SCDPT1'!SCDPT1_1999999_7+'GMIC_2020-Annu_SCDPT1'!SCDPT1_2699999_7+'GMIC_2020-Annu_SCDPT1'!SCDPT1_3399999_7+'GMIC_2020-Annu_SCDPT1'!SCDPT1_4399999_7+'GMIC_2020-Annu_SCDPT1'!SCDPT1_5099999_7</f>
        <v>0</v>
      </c>
      <c r="L1085" s="2"/>
      <c r="M1085" s="3">
        <f>'GMIC_2020-Annu_SCDPT1'!SCDPT1_0299999_9+'GMIC_2020-Annu_SCDPT1'!SCDPT1_0799999_9+'GMIC_2020-Annu_SCDPT1'!SCDPT1_1299999_9+'GMIC_2020-Annu_SCDPT1'!SCDPT1_1999999_9+'GMIC_2020-Annu_SCDPT1'!SCDPT1_2699999_9+'GMIC_2020-Annu_SCDPT1'!SCDPT1_3399999_9+'GMIC_2020-Annu_SCDPT1'!SCDPT1_4399999_9+'GMIC_2020-Annu_SCDPT1'!SCDPT1_5099999_9</f>
        <v>0</v>
      </c>
      <c r="N1085" s="3">
        <f>'GMIC_2020-Annu_SCDPT1'!SCDPT1_0299999_10+'GMIC_2020-Annu_SCDPT1'!SCDPT1_0799999_10+'GMIC_2020-Annu_SCDPT1'!SCDPT1_1299999_10+'GMIC_2020-Annu_SCDPT1'!SCDPT1_1999999_10+'GMIC_2020-Annu_SCDPT1'!SCDPT1_2699999_10+'GMIC_2020-Annu_SCDPT1'!SCDPT1_3399999_10+'GMIC_2020-Annu_SCDPT1'!SCDPT1_4399999_10+'GMIC_2020-Annu_SCDPT1'!SCDPT1_5099999_10</f>
        <v>0</v>
      </c>
      <c r="O1085" s="3">
        <f>'GMIC_2020-Annu_SCDPT1'!SCDPT1_0299999_11+'GMIC_2020-Annu_SCDPT1'!SCDPT1_0799999_11+'GMIC_2020-Annu_SCDPT1'!SCDPT1_1299999_11+'GMIC_2020-Annu_SCDPT1'!SCDPT1_1999999_11+'GMIC_2020-Annu_SCDPT1'!SCDPT1_2699999_11+'GMIC_2020-Annu_SCDPT1'!SCDPT1_3399999_11+'GMIC_2020-Annu_SCDPT1'!SCDPT1_4399999_11+'GMIC_2020-Annu_SCDPT1'!SCDPT1_5099999_11</f>
        <v>0</v>
      </c>
      <c r="P1085" s="3">
        <f>'GMIC_2020-Annu_SCDPT1'!SCDPT1_0299999_12+'GMIC_2020-Annu_SCDPT1'!SCDPT1_0799999_12+'GMIC_2020-Annu_SCDPT1'!SCDPT1_1299999_12+'GMIC_2020-Annu_SCDPT1'!SCDPT1_1999999_12+'GMIC_2020-Annu_SCDPT1'!SCDPT1_2699999_12+'GMIC_2020-Annu_SCDPT1'!SCDPT1_3399999_12+'GMIC_2020-Annu_SCDPT1'!SCDPT1_4399999_12+'GMIC_2020-Annu_SCDPT1'!SCDPT1_5099999_12</f>
        <v>0</v>
      </c>
      <c r="Q1085" s="3">
        <f>'GMIC_2020-Annu_SCDPT1'!SCDPT1_0299999_13+'GMIC_2020-Annu_SCDPT1'!SCDPT1_0799999_13+'GMIC_2020-Annu_SCDPT1'!SCDPT1_1299999_13+'GMIC_2020-Annu_SCDPT1'!SCDPT1_1999999_13+'GMIC_2020-Annu_SCDPT1'!SCDPT1_2699999_13+'GMIC_2020-Annu_SCDPT1'!SCDPT1_3399999_13+'GMIC_2020-Annu_SCDPT1'!SCDPT1_4399999_13+'GMIC_2020-Annu_SCDPT1'!SCDPT1_5099999_13</f>
        <v>0</v>
      </c>
      <c r="R1085" s="3">
        <f>'GMIC_2020-Annu_SCDPT1'!SCDPT1_0299999_14+'GMIC_2020-Annu_SCDPT1'!SCDPT1_0799999_14+'GMIC_2020-Annu_SCDPT1'!SCDPT1_1299999_14+'GMIC_2020-Annu_SCDPT1'!SCDPT1_1999999_14+'GMIC_2020-Annu_SCDPT1'!SCDPT1_2699999_14+'GMIC_2020-Annu_SCDPT1'!SCDPT1_3399999_14+'GMIC_2020-Annu_SCDPT1'!SCDPT1_4399999_14+'GMIC_2020-Annu_SCDPT1'!SCDPT1_5099999_14</f>
        <v>0</v>
      </c>
      <c r="S1085" s="3">
        <f>'GMIC_2020-Annu_SCDPT1'!SCDPT1_0299999_15+'GMIC_2020-Annu_SCDPT1'!SCDPT1_0799999_15+'GMIC_2020-Annu_SCDPT1'!SCDPT1_1299999_15+'GMIC_2020-Annu_SCDPT1'!SCDPT1_1999999_15+'GMIC_2020-Annu_SCDPT1'!SCDPT1_2699999_15+'GMIC_2020-Annu_SCDPT1'!SCDPT1_3399999_15+'GMIC_2020-Annu_SCDPT1'!SCDPT1_4399999_15+'GMIC_2020-Annu_SCDPT1'!SCDPT1_5099999_15</f>
        <v>0</v>
      </c>
      <c r="T1085" s="2"/>
      <c r="U1085" s="2"/>
      <c r="V1085" s="2"/>
      <c r="W1085" s="3">
        <f>'GMIC_2020-Annu_SCDPT1'!SCDPT1_0299999_19+'GMIC_2020-Annu_SCDPT1'!SCDPT1_0799999_19+'GMIC_2020-Annu_SCDPT1'!SCDPT1_1299999_19+'GMIC_2020-Annu_SCDPT1'!SCDPT1_1999999_19+'GMIC_2020-Annu_SCDPT1'!SCDPT1_2699999_19+'GMIC_2020-Annu_SCDPT1'!SCDPT1_3399999_19+'GMIC_2020-Annu_SCDPT1'!SCDPT1_4399999_19+'GMIC_2020-Annu_SCDPT1'!SCDPT1_5099999_19</f>
        <v>0</v>
      </c>
      <c r="X1085" s="3">
        <f>'GMIC_2020-Annu_SCDPT1'!SCDPT1_0299999_20+'GMIC_2020-Annu_SCDPT1'!SCDPT1_0799999_20+'GMIC_2020-Annu_SCDPT1'!SCDPT1_1299999_20+'GMIC_2020-Annu_SCDPT1'!SCDPT1_1999999_20+'GMIC_2020-Annu_SCDPT1'!SCDPT1_2699999_20+'GMIC_2020-Annu_SCDPT1'!SCDPT1_3399999_20+'GMIC_2020-Annu_SCDPT1'!SCDPT1_4399999_20+'GMIC_2020-Annu_SCDPT1'!SCDPT1_5099999_20</f>
        <v>0</v>
      </c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</row>
    <row r="1086" spans="2:39" ht="27.6" x14ac:dyDescent="0.25">
      <c r="B1086" s="21" t="s">
        <v>3470</v>
      </c>
      <c r="C1086" s="19" t="s">
        <v>1906</v>
      </c>
      <c r="D1086" s="17"/>
      <c r="E1086" s="2"/>
      <c r="F1086" s="2"/>
      <c r="G1086" s="2"/>
      <c r="H1086" s="2"/>
      <c r="I1086" s="2"/>
      <c r="J1086" s="2"/>
      <c r="K1086" s="3">
        <f>'GMIC_2020-Annu_SCDPT1'!SCDPT1_0399999_7+'GMIC_2020-Annu_SCDPT1'!SCDPT1_0899999_7+'GMIC_2020-Annu_SCDPT1'!SCDPT1_1399999_7+'GMIC_2020-Annu_SCDPT1'!SCDPT1_2099999_7+'GMIC_2020-Annu_SCDPT1'!SCDPT1_2799999_7+'GMIC_2020-Annu_SCDPT1'!SCDPT1_3499999_7+'GMIC_2020-Annu_SCDPT1'!SCDPT1_4499999_7+'GMIC_2020-Annu_SCDPT1'!SCDPT1_5199999_7</f>
        <v>0</v>
      </c>
      <c r="L1086" s="2"/>
      <c r="M1086" s="3">
        <f>'GMIC_2020-Annu_SCDPT1'!SCDPT1_0399999_9+'GMIC_2020-Annu_SCDPT1'!SCDPT1_0899999_9+'GMIC_2020-Annu_SCDPT1'!SCDPT1_1399999_9+'GMIC_2020-Annu_SCDPT1'!SCDPT1_2099999_9+'GMIC_2020-Annu_SCDPT1'!SCDPT1_2799999_9+'GMIC_2020-Annu_SCDPT1'!SCDPT1_3499999_9+'GMIC_2020-Annu_SCDPT1'!SCDPT1_4499999_9+'GMIC_2020-Annu_SCDPT1'!SCDPT1_5199999_9</f>
        <v>0</v>
      </c>
      <c r="N1086" s="3">
        <f>'GMIC_2020-Annu_SCDPT1'!SCDPT1_0399999_10+'GMIC_2020-Annu_SCDPT1'!SCDPT1_0899999_10+'GMIC_2020-Annu_SCDPT1'!SCDPT1_1399999_10+'GMIC_2020-Annu_SCDPT1'!SCDPT1_2099999_10+'GMIC_2020-Annu_SCDPT1'!SCDPT1_2799999_10+'GMIC_2020-Annu_SCDPT1'!SCDPT1_3499999_10+'GMIC_2020-Annu_SCDPT1'!SCDPT1_4499999_10+'GMIC_2020-Annu_SCDPT1'!SCDPT1_5199999_10</f>
        <v>0</v>
      </c>
      <c r="O1086" s="3">
        <f>'GMIC_2020-Annu_SCDPT1'!SCDPT1_0399999_11+'GMIC_2020-Annu_SCDPT1'!SCDPT1_0899999_11+'GMIC_2020-Annu_SCDPT1'!SCDPT1_1399999_11+'GMIC_2020-Annu_SCDPT1'!SCDPT1_2099999_11+'GMIC_2020-Annu_SCDPT1'!SCDPT1_2799999_11+'GMIC_2020-Annu_SCDPT1'!SCDPT1_3499999_11+'GMIC_2020-Annu_SCDPT1'!SCDPT1_4499999_11+'GMIC_2020-Annu_SCDPT1'!SCDPT1_5199999_11</f>
        <v>0</v>
      </c>
      <c r="P1086" s="3">
        <f>'GMIC_2020-Annu_SCDPT1'!SCDPT1_0399999_12+'GMIC_2020-Annu_SCDPT1'!SCDPT1_0899999_12+'GMIC_2020-Annu_SCDPT1'!SCDPT1_1399999_12+'GMIC_2020-Annu_SCDPT1'!SCDPT1_2099999_12+'GMIC_2020-Annu_SCDPT1'!SCDPT1_2799999_12+'GMIC_2020-Annu_SCDPT1'!SCDPT1_3499999_12+'GMIC_2020-Annu_SCDPT1'!SCDPT1_4499999_12+'GMIC_2020-Annu_SCDPT1'!SCDPT1_5199999_12</f>
        <v>0</v>
      </c>
      <c r="Q1086" s="3">
        <f>'GMIC_2020-Annu_SCDPT1'!SCDPT1_0399999_13+'GMIC_2020-Annu_SCDPT1'!SCDPT1_0899999_13+'GMIC_2020-Annu_SCDPT1'!SCDPT1_1399999_13+'GMIC_2020-Annu_SCDPT1'!SCDPT1_2099999_13+'GMIC_2020-Annu_SCDPT1'!SCDPT1_2799999_13+'GMIC_2020-Annu_SCDPT1'!SCDPT1_3499999_13+'GMIC_2020-Annu_SCDPT1'!SCDPT1_4499999_13+'GMIC_2020-Annu_SCDPT1'!SCDPT1_5199999_13</f>
        <v>0</v>
      </c>
      <c r="R1086" s="3">
        <f>'GMIC_2020-Annu_SCDPT1'!SCDPT1_0399999_14+'GMIC_2020-Annu_SCDPT1'!SCDPT1_0899999_14+'GMIC_2020-Annu_SCDPT1'!SCDPT1_1399999_14+'GMIC_2020-Annu_SCDPT1'!SCDPT1_2099999_14+'GMIC_2020-Annu_SCDPT1'!SCDPT1_2799999_14+'GMIC_2020-Annu_SCDPT1'!SCDPT1_3499999_14+'GMIC_2020-Annu_SCDPT1'!SCDPT1_4499999_14+'GMIC_2020-Annu_SCDPT1'!SCDPT1_5199999_14</f>
        <v>0</v>
      </c>
      <c r="S1086" s="3">
        <f>'GMIC_2020-Annu_SCDPT1'!SCDPT1_0399999_15+'GMIC_2020-Annu_SCDPT1'!SCDPT1_0899999_15+'GMIC_2020-Annu_SCDPT1'!SCDPT1_1399999_15+'GMIC_2020-Annu_SCDPT1'!SCDPT1_2099999_15+'GMIC_2020-Annu_SCDPT1'!SCDPT1_2799999_15+'GMIC_2020-Annu_SCDPT1'!SCDPT1_3499999_15+'GMIC_2020-Annu_SCDPT1'!SCDPT1_4499999_15+'GMIC_2020-Annu_SCDPT1'!SCDPT1_5199999_15</f>
        <v>0</v>
      </c>
      <c r="T1086" s="2"/>
      <c r="U1086" s="2"/>
      <c r="V1086" s="2"/>
      <c r="W1086" s="3">
        <f>'GMIC_2020-Annu_SCDPT1'!SCDPT1_0399999_19+'GMIC_2020-Annu_SCDPT1'!SCDPT1_0899999_19+'GMIC_2020-Annu_SCDPT1'!SCDPT1_1399999_19+'GMIC_2020-Annu_SCDPT1'!SCDPT1_2099999_19+'GMIC_2020-Annu_SCDPT1'!SCDPT1_2799999_19+'GMIC_2020-Annu_SCDPT1'!SCDPT1_3499999_19+'GMIC_2020-Annu_SCDPT1'!SCDPT1_4499999_19+'GMIC_2020-Annu_SCDPT1'!SCDPT1_5199999_19</f>
        <v>0</v>
      </c>
      <c r="X1086" s="3">
        <f>'GMIC_2020-Annu_SCDPT1'!SCDPT1_0399999_20+'GMIC_2020-Annu_SCDPT1'!SCDPT1_0899999_20+'GMIC_2020-Annu_SCDPT1'!SCDPT1_1399999_20+'GMIC_2020-Annu_SCDPT1'!SCDPT1_2099999_20+'GMIC_2020-Annu_SCDPT1'!SCDPT1_2799999_20+'GMIC_2020-Annu_SCDPT1'!SCDPT1_3499999_20+'GMIC_2020-Annu_SCDPT1'!SCDPT1_4499999_20+'GMIC_2020-Annu_SCDPT1'!SCDPT1_5199999_20</f>
        <v>0</v>
      </c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</row>
    <row r="1087" spans="2:39" ht="27.6" x14ac:dyDescent="0.25">
      <c r="B1087" s="21" t="s">
        <v>2637</v>
      </c>
      <c r="C1087" s="19" t="s">
        <v>2173</v>
      </c>
      <c r="D1087" s="17"/>
      <c r="E1087" s="2"/>
      <c r="F1087" s="2"/>
      <c r="G1087" s="2"/>
      <c r="H1087" s="2"/>
      <c r="I1087" s="2"/>
      <c r="J1087" s="2"/>
      <c r="K1087" s="3">
        <f>'GMIC_2020-Annu_SCDPT1'!SCDPT1_0499999_7+'GMIC_2020-Annu_SCDPT1'!SCDPT1_0999999_7+'GMIC_2020-Annu_SCDPT1'!SCDPT1_1499999_7+'GMIC_2020-Annu_SCDPT1'!SCDPT1_2199999_7+'GMIC_2020-Annu_SCDPT1'!SCDPT1_2899999_7+'GMIC_2020-Annu_SCDPT1'!SCDPT1_3599999_7+'GMIC_2020-Annu_SCDPT1'!SCDPT1_4599999_7+'GMIC_2020-Annu_SCDPT1'!SCDPT1_5299999_7</f>
        <v>1196513025</v>
      </c>
      <c r="L1087" s="2"/>
      <c r="M1087" s="3">
        <f>'GMIC_2020-Annu_SCDPT1'!SCDPT1_0499999_9+'GMIC_2020-Annu_SCDPT1'!SCDPT1_0999999_9+'GMIC_2020-Annu_SCDPT1'!SCDPT1_1499999_9+'GMIC_2020-Annu_SCDPT1'!SCDPT1_2199999_9+'GMIC_2020-Annu_SCDPT1'!SCDPT1_2899999_9+'GMIC_2020-Annu_SCDPT1'!SCDPT1_3599999_9+'GMIC_2020-Annu_SCDPT1'!SCDPT1_4599999_9+'GMIC_2020-Annu_SCDPT1'!SCDPT1_5299999_9</f>
        <v>1217625919</v>
      </c>
      <c r="N1087" s="3">
        <f>'GMIC_2020-Annu_SCDPT1'!SCDPT1_0499999_10+'GMIC_2020-Annu_SCDPT1'!SCDPT1_0999999_10+'GMIC_2020-Annu_SCDPT1'!SCDPT1_1499999_10+'GMIC_2020-Annu_SCDPT1'!SCDPT1_2199999_10+'GMIC_2020-Annu_SCDPT1'!SCDPT1_2899999_10+'GMIC_2020-Annu_SCDPT1'!SCDPT1_3599999_10+'GMIC_2020-Annu_SCDPT1'!SCDPT1_4599999_10+'GMIC_2020-Annu_SCDPT1'!SCDPT1_5299999_10</f>
        <v>1196181472</v>
      </c>
      <c r="O1087" s="3">
        <f>'GMIC_2020-Annu_SCDPT1'!SCDPT1_0499999_11+'GMIC_2020-Annu_SCDPT1'!SCDPT1_0999999_11+'GMIC_2020-Annu_SCDPT1'!SCDPT1_1499999_11+'GMIC_2020-Annu_SCDPT1'!SCDPT1_2199999_11+'GMIC_2020-Annu_SCDPT1'!SCDPT1_2899999_11+'GMIC_2020-Annu_SCDPT1'!SCDPT1_3599999_11+'GMIC_2020-Annu_SCDPT1'!SCDPT1_4599999_11+'GMIC_2020-Annu_SCDPT1'!SCDPT1_5299999_11</f>
        <v>1196691020</v>
      </c>
      <c r="P1087" s="3">
        <f>'GMIC_2020-Annu_SCDPT1'!SCDPT1_0499999_12+'GMIC_2020-Annu_SCDPT1'!SCDPT1_0999999_12+'GMIC_2020-Annu_SCDPT1'!SCDPT1_1499999_12+'GMIC_2020-Annu_SCDPT1'!SCDPT1_2199999_12+'GMIC_2020-Annu_SCDPT1'!SCDPT1_2899999_12+'GMIC_2020-Annu_SCDPT1'!SCDPT1_3599999_12+'GMIC_2020-Annu_SCDPT1'!SCDPT1_4599999_12+'GMIC_2020-Annu_SCDPT1'!SCDPT1_5299999_12</f>
        <v>0</v>
      </c>
      <c r="Q1087" s="3">
        <f>'GMIC_2020-Annu_SCDPT1'!SCDPT1_0499999_13+'GMIC_2020-Annu_SCDPT1'!SCDPT1_0999999_13+'GMIC_2020-Annu_SCDPT1'!SCDPT1_1499999_13+'GMIC_2020-Annu_SCDPT1'!SCDPT1_2199999_13+'GMIC_2020-Annu_SCDPT1'!SCDPT1_2899999_13+'GMIC_2020-Annu_SCDPT1'!SCDPT1_3599999_13+'GMIC_2020-Annu_SCDPT1'!SCDPT1_4599999_13+'GMIC_2020-Annu_SCDPT1'!SCDPT1_5299999_13</f>
        <v>51214</v>
      </c>
      <c r="R1087" s="3">
        <f>'GMIC_2020-Annu_SCDPT1'!SCDPT1_0499999_14+'GMIC_2020-Annu_SCDPT1'!SCDPT1_0999999_14+'GMIC_2020-Annu_SCDPT1'!SCDPT1_1499999_14+'GMIC_2020-Annu_SCDPT1'!SCDPT1_2199999_14+'GMIC_2020-Annu_SCDPT1'!SCDPT1_2899999_14+'GMIC_2020-Annu_SCDPT1'!SCDPT1_3599999_14+'GMIC_2020-Annu_SCDPT1'!SCDPT1_4599999_14+'GMIC_2020-Annu_SCDPT1'!SCDPT1_5299999_14</f>
        <v>0</v>
      </c>
      <c r="S1087" s="3">
        <f>'GMIC_2020-Annu_SCDPT1'!SCDPT1_0499999_15+'GMIC_2020-Annu_SCDPT1'!SCDPT1_0999999_15+'GMIC_2020-Annu_SCDPT1'!SCDPT1_1499999_15+'GMIC_2020-Annu_SCDPT1'!SCDPT1_2199999_15+'GMIC_2020-Annu_SCDPT1'!SCDPT1_2899999_15+'GMIC_2020-Annu_SCDPT1'!SCDPT1_3599999_15+'GMIC_2020-Annu_SCDPT1'!SCDPT1_4599999_15+'GMIC_2020-Annu_SCDPT1'!SCDPT1_5299999_15</f>
        <v>0</v>
      </c>
      <c r="T1087" s="2"/>
      <c r="U1087" s="2"/>
      <c r="V1087" s="2"/>
      <c r="W1087" s="3">
        <f>'GMIC_2020-Annu_SCDPT1'!SCDPT1_0499999_19+'GMIC_2020-Annu_SCDPT1'!SCDPT1_0999999_19+'GMIC_2020-Annu_SCDPT1'!SCDPT1_1499999_19+'GMIC_2020-Annu_SCDPT1'!SCDPT1_2199999_19+'GMIC_2020-Annu_SCDPT1'!SCDPT1_2899999_19+'GMIC_2020-Annu_SCDPT1'!SCDPT1_3599999_19+'GMIC_2020-Annu_SCDPT1'!SCDPT1_4599999_19+'GMIC_2020-Annu_SCDPT1'!SCDPT1_5299999_19</f>
        <v>1925497</v>
      </c>
      <c r="X1087" s="3">
        <f>'GMIC_2020-Annu_SCDPT1'!SCDPT1_0499999_20+'GMIC_2020-Annu_SCDPT1'!SCDPT1_0999999_20+'GMIC_2020-Annu_SCDPT1'!SCDPT1_1499999_20+'GMIC_2020-Annu_SCDPT1'!SCDPT1_2199999_20+'GMIC_2020-Annu_SCDPT1'!SCDPT1_2899999_20+'GMIC_2020-Annu_SCDPT1'!SCDPT1_3599999_20+'GMIC_2020-Annu_SCDPT1'!SCDPT1_4599999_20+'GMIC_2020-Annu_SCDPT1'!SCDPT1_5299999_20</f>
        <v>23049193</v>
      </c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</row>
    <row r="1088" spans="2:39" x14ac:dyDescent="0.25">
      <c r="B1088" s="21" t="s">
        <v>3471</v>
      </c>
      <c r="C1088" s="19" t="s">
        <v>180</v>
      </c>
      <c r="D1088" s="17"/>
      <c r="E1088" s="2"/>
      <c r="F1088" s="2"/>
      <c r="G1088" s="2"/>
      <c r="H1088" s="2"/>
      <c r="I1088" s="2"/>
      <c r="J1088" s="2"/>
      <c r="K1088" s="43">
        <f>'GMIC_2020-Annu_SCDPT1'!SCDPT1_6099999_7</f>
        <v>0</v>
      </c>
      <c r="L1088" s="2"/>
      <c r="M1088" s="43">
        <f>'GMIC_2020-Annu_SCDPT1'!SCDPT1_6099999_9</f>
        <v>0</v>
      </c>
      <c r="N1088" s="43">
        <f>'GMIC_2020-Annu_SCDPT1'!SCDPT1_6099999_10</f>
        <v>0</v>
      </c>
      <c r="O1088" s="43">
        <f>'GMIC_2020-Annu_SCDPT1'!SCDPT1_6099999_11</f>
        <v>0</v>
      </c>
      <c r="P1088" s="43">
        <f>'GMIC_2020-Annu_SCDPT1'!SCDPT1_6099999_12</f>
        <v>0</v>
      </c>
      <c r="Q1088" s="43">
        <f>'GMIC_2020-Annu_SCDPT1'!SCDPT1_6099999_13</f>
        <v>0</v>
      </c>
      <c r="R1088" s="43">
        <f>'GMIC_2020-Annu_SCDPT1'!SCDPT1_6099999_14</f>
        <v>0</v>
      </c>
      <c r="S1088" s="43">
        <f>'GMIC_2020-Annu_SCDPT1'!SCDPT1_6099999_15</f>
        <v>0</v>
      </c>
      <c r="T1088" s="2"/>
      <c r="U1088" s="2"/>
      <c r="V1088" s="2"/>
      <c r="W1088" s="43">
        <f>'GMIC_2020-Annu_SCDPT1'!SCDPT1_6099999_19</f>
        <v>0</v>
      </c>
      <c r="X1088" s="43">
        <f>'GMIC_2020-Annu_SCDPT1'!SCDPT1_6099999_20</f>
        <v>0</v>
      </c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</row>
    <row r="1089" spans="2:39" x14ac:dyDescent="0.25">
      <c r="B1089" s="21" t="s">
        <v>2638</v>
      </c>
      <c r="C1089" s="19" t="s">
        <v>4392</v>
      </c>
      <c r="D1089" s="17"/>
      <c r="E1089" s="2"/>
      <c r="F1089" s="2"/>
      <c r="G1089" s="2"/>
      <c r="H1089" s="2"/>
      <c r="I1089" s="2"/>
      <c r="J1089" s="2"/>
      <c r="K1089" s="3">
        <f>'GMIC_2020-Annu_SCDPT1'!SCDPT1_5399999_7+'GMIC_2020-Annu_SCDPT1'!SCDPT1_5499999_7</f>
        <v>0</v>
      </c>
      <c r="L1089" s="2"/>
      <c r="M1089" s="3">
        <f>'GMIC_2020-Annu_SCDPT1'!SCDPT1_5399999_9+'GMIC_2020-Annu_SCDPT1'!SCDPT1_5499999_9</f>
        <v>0</v>
      </c>
      <c r="N1089" s="3">
        <f>'GMIC_2020-Annu_SCDPT1'!SCDPT1_5399999_10+'GMIC_2020-Annu_SCDPT1'!SCDPT1_5499999_10</f>
        <v>0</v>
      </c>
      <c r="O1089" s="3">
        <f>'GMIC_2020-Annu_SCDPT1'!SCDPT1_5399999_11+'GMIC_2020-Annu_SCDPT1'!SCDPT1_5499999_11</f>
        <v>0</v>
      </c>
      <c r="P1089" s="3">
        <f>'GMIC_2020-Annu_SCDPT1'!SCDPT1_5399999_12+'GMIC_2020-Annu_SCDPT1'!SCDPT1_5499999_12</f>
        <v>0</v>
      </c>
      <c r="Q1089" s="3">
        <f>'GMIC_2020-Annu_SCDPT1'!SCDPT1_5399999_13+'GMIC_2020-Annu_SCDPT1'!SCDPT1_5499999_13</f>
        <v>0</v>
      </c>
      <c r="R1089" s="3">
        <f>'GMIC_2020-Annu_SCDPT1'!SCDPT1_5399999_14+'GMIC_2020-Annu_SCDPT1'!SCDPT1_5499999_14</f>
        <v>0</v>
      </c>
      <c r="S1089" s="3">
        <f>'GMIC_2020-Annu_SCDPT1'!SCDPT1_5399999_15+'GMIC_2020-Annu_SCDPT1'!SCDPT1_5499999_15</f>
        <v>0</v>
      </c>
      <c r="T1089" s="2"/>
      <c r="U1089" s="2"/>
      <c r="V1089" s="2"/>
      <c r="W1089" s="3">
        <f>'GMIC_2020-Annu_SCDPT1'!SCDPT1_5399999_19+'GMIC_2020-Annu_SCDPT1'!SCDPT1_5499999_19</f>
        <v>0</v>
      </c>
      <c r="X1089" s="3">
        <f>'GMIC_2020-Annu_SCDPT1'!SCDPT1_5399999_20+'GMIC_2020-Annu_SCDPT1'!SCDPT1_5499999_20</f>
        <v>0</v>
      </c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</row>
    <row r="1090" spans="2:39" ht="27.6" x14ac:dyDescent="0.25">
      <c r="B1090" s="21" t="s">
        <v>1907</v>
      </c>
      <c r="C1090" s="19" t="s">
        <v>2991</v>
      </c>
      <c r="D1090" s="17"/>
      <c r="E1090" s="2"/>
      <c r="F1090" s="2"/>
      <c r="G1090" s="2"/>
      <c r="H1090" s="2"/>
      <c r="I1090" s="2"/>
      <c r="J1090" s="2"/>
      <c r="K1090" s="43">
        <f>'GMIC_2020-Annu_SCDPT1'!SCDPT1_6599999_7</f>
        <v>0</v>
      </c>
      <c r="L1090" s="2"/>
      <c r="M1090" s="43">
        <f>'GMIC_2020-Annu_SCDPT1'!SCDPT1_6599999_9</f>
        <v>0</v>
      </c>
      <c r="N1090" s="43">
        <f>'GMIC_2020-Annu_SCDPT1'!SCDPT1_6599999_10</f>
        <v>0</v>
      </c>
      <c r="O1090" s="43">
        <f>'GMIC_2020-Annu_SCDPT1'!SCDPT1_6599999_11</f>
        <v>0</v>
      </c>
      <c r="P1090" s="43">
        <f>'GMIC_2020-Annu_SCDPT1'!SCDPT1_6599999_12</f>
        <v>0</v>
      </c>
      <c r="Q1090" s="43">
        <f>'GMIC_2020-Annu_SCDPT1'!SCDPT1_6599999_13</f>
        <v>0</v>
      </c>
      <c r="R1090" s="43">
        <f>'GMIC_2020-Annu_SCDPT1'!SCDPT1_6599999_14</f>
        <v>0</v>
      </c>
      <c r="S1090" s="43">
        <f>'GMIC_2020-Annu_SCDPT1'!SCDPT1_6599999_15</f>
        <v>0</v>
      </c>
      <c r="T1090" s="2"/>
      <c r="U1090" s="2"/>
      <c r="V1090" s="2"/>
      <c r="W1090" s="43">
        <f>'GMIC_2020-Annu_SCDPT1'!SCDPT1_6599999_19</f>
        <v>0</v>
      </c>
      <c r="X1090" s="43">
        <f>'GMIC_2020-Annu_SCDPT1'!SCDPT1_6599999_20</f>
        <v>0</v>
      </c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</row>
    <row r="1091" spans="2:39" x14ac:dyDescent="0.25">
      <c r="B1091" s="53" t="s">
        <v>1289</v>
      </c>
      <c r="C1091" s="55" t="s">
        <v>2373</v>
      </c>
      <c r="D1091" s="69"/>
      <c r="E1091" s="26"/>
      <c r="F1091" s="26"/>
      <c r="G1091" s="26"/>
      <c r="H1091" s="26"/>
      <c r="I1091" s="26"/>
      <c r="J1091" s="26"/>
      <c r="K1091" s="32">
        <f>'GMIC_2020-Annu_SCDPT1'!SCDPT1_0599999_7+'GMIC_2020-Annu_SCDPT1'!SCDPT1_1099999_7+'GMIC_2020-Annu_SCDPT1'!SCDPT1_1799999_7+'GMIC_2020-Annu_SCDPT1'!SCDPT1_2499999_7+'GMIC_2020-Annu_SCDPT1'!SCDPT1_3199999_7+'GMIC_2020-Annu_SCDPT1'!SCDPT1_3899999_7+'GMIC_2020-Annu_SCDPT1'!SCDPT1_4899999_7+'GMIC_2020-Annu_SCDPT1'!SCDPT1_5599999_7+'GMIC_2020-Annu_SCDPT1'!SCDPT1_6099999_7+'GMIC_2020-Annu_SCDPT1'!SCDPT1_6599999_7</f>
        <v>4696934724</v>
      </c>
      <c r="L1091" s="26"/>
      <c r="M1091" s="32">
        <f>'GMIC_2020-Annu_SCDPT1'!SCDPT1_0599999_9+'GMIC_2020-Annu_SCDPT1'!SCDPT1_1099999_9+'GMIC_2020-Annu_SCDPT1'!SCDPT1_1799999_9+'GMIC_2020-Annu_SCDPT1'!SCDPT1_2499999_9+'GMIC_2020-Annu_SCDPT1'!SCDPT1_3199999_9+'GMIC_2020-Annu_SCDPT1'!SCDPT1_3899999_9+'GMIC_2020-Annu_SCDPT1'!SCDPT1_4899999_9+'GMIC_2020-Annu_SCDPT1'!SCDPT1_5599999_9+'GMIC_2020-Annu_SCDPT1'!SCDPT1_6099999_9+'GMIC_2020-Annu_SCDPT1'!SCDPT1_6599999_9</f>
        <v>4962278859</v>
      </c>
      <c r="N1091" s="32">
        <f>'GMIC_2020-Annu_SCDPT1'!SCDPT1_0599999_10+'GMIC_2020-Annu_SCDPT1'!SCDPT1_1099999_10+'GMIC_2020-Annu_SCDPT1'!SCDPT1_1799999_10+'GMIC_2020-Annu_SCDPT1'!SCDPT1_2499999_10+'GMIC_2020-Annu_SCDPT1'!SCDPT1_3199999_10+'GMIC_2020-Annu_SCDPT1'!SCDPT1_3899999_10+'GMIC_2020-Annu_SCDPT1'!SCDPT1_4899999_10+'GMIC_2020-Annu_SCDPT1'!SCDPT1_5599999_10+'GMIC_2020-Annu_SCDPT1'!SCDPT1_6099999_10+'GMIC_2020-Annu_SCDPT1'!SCDPT1_6599999_10</f>
        <v>4705303133</v>
      </c>
      <c r="O1091" s="32">
        <f>'GMIC_2020-Annu_SCDPT1'!SCDPT1_0599999_11+'GMIC_2020-Annu_SCDPT1'!SCDPT1_1099999_11+'GMIC_2020-Annu_SCDPT1'!SCDPT1_1799999_11+'GMIC_2020-Annu_SCDPT1'!SCDPT1_2499999_11+'GMIC_2020-Annu_SCDPT1'!SCDPT1_3199999_11+'GMIC_2020-Annu_SCDPT1'!SCDPT1_3899999_11+'GMIC_2020-Annu_SCDPT1'!SCDPT1_4899999_11+'GMIC_2020-Annu_SCDPT1'!SCDPT1_5599999_11+'GMIC_2020-Annu_SCDPT1'!SCDPT1_6099999_11+'GMIC_2020-Annu_SCDPT1'!SCDPT1_6599999_11</f>
        <v>4702111033</v>
      </c>
      <c r="P1091" s="32">
        <f>'GMIC_2020-Annu_SCDPT1'!SCDPT1_0599999_12+'GMIC_2020-Annu_SCDPT1'!SCDPT1_1099999_12+'GMIC_2020-Annu_SCDPT1'!SCDPT1_1799999_12+'GMIC_2020-Annu_SCDPT1'!SCDPT1_2499999_12+'GMIC_2020-Annu_SCDPT1'!SCDPT1_3199999_12+'GMIC_2020-Annu_SCDPT1'!SCDPT1_3899999_12+'GMIC_2020-Annu_SCDPT1'!SCDPT1_4899999_12+'GMIC_2020-Annu_SCDPT1'!SCDPT1_5599999_12+'GMIC_2020-Annu_SCDPT1'!SCDPT1_6099999_12+'GMIC_2020-Annu_SCDPT1'!SCDPT1_6599999_12</f>
        <v>-2180815</v>
      </c>
      <c r="Q1091" s="32">
        <f>'GMIC_2020-Annu_SCDPT1'!SCDPT1_0599999_13+'GMIC_2020-Annu_SCDPT1'!SCDPT1_1099999_13+'GMIC_2020-Annu_SCDPT1'!SCDPT1_1799999_13+'GMIC_2020-Annu_SCDPT1'!SCDPT1_2499999_13+'GMIC_2020-Annu_SCDPT1'!SCDPT1_3199999_13+'GMIC_2020-Annu_SCDPT1'!SCDPT1_3899999_13+'GMIC_2020-Annu_SCDPT1'!SCDPT1_4899999_13+'GMIC_2020-Annu_SCDPT1'!SCDPT1_5599999_13+'GMIC_2020-Annu_SCDPT1'!SCDPT1_6099999_13+'GMIC_2020-Annu_SCDPT1'!SCDPT1_6599999_13</f>
        <v>218802</v>
      </c>
      <c r="R1091" s="32">
        <f>'GMIC_2020-Annu_SCDPT1'!SCDPT1_0599999_14+'GMIC_2020-Annu_SCDPT1'!SCDPT1_1099999_14+'GMIC_2020-Annu_SCDPT1'!SCDPT1_1799999_14+'GMIC_2020-Annu_SCDPT1'!SCDPT1_2499999_14+'GMIC_2020-Annu_SCDPT1'!SCDPT1_3199999_14+'GMIC_2020-Annu_SCDPT1'!SCDPT1_3899999_14+'GMIC_2020-Annu_SCDPT1'!SCDPT1_4899999_14+'GMIC_2020-Annu_SCDPT1'!SCDPT1_5599999_14+'GMIC_2020-Annu_SCDPT1'!SCDPT1_6099999_14+'GMIC_2020-Annu_SCDPT1'!SCDPT1_6599999_14</f>
        <v>0</v>
      </c>
      <c r="S1091" s="32">
        <f>'GMIC_2020-Annu_SCDPT1'!SCDPT1_0599999_15+'GMIC_2020-Annu_SCDPT1'!SCDPT1_1099999_15+'GMIC_2020-Annu_SCDPT1'!SCDPT1_1799999_15+'GMIC_2020-Annu_SCDPT1'!SCDPT1_2499999_15+'GMIC_2020-Annu_SCDPT1'!SCDPT1_3199999_15+'GMIC_2020-Annu_SCDPT1'!SCDPT1_3899999_15+'GMIC_2020-Annu_SCDPT1'!SCDPT1_4899999_15+'GMIC_2020-Annu_SCDPT1'!SCDPT1_5599999_15+'GMIC_2020-Annu_SCDPT1'!SCDPT1_6099999_15+'GMIC_2020-Annu_SCDPT1'!SCDPT1_6599999_15</f>
        <v>0</v>
      </c>
      <c r="T1091" s="26"/>
      <c r="U1091" s="26"/>
      <c r="V1091" s="26"/>
      <c r="W1091" s="32">
        <f>'GMIC_2020-Annu_SCDPT1'!SCDPT1_0599999_19+'GMIC_2020-Annu_SCDPT1'!SCDPT1_1099999_19+'GMIC_2020-Annu_SCDPT1'!SCDPT1_1799999_19+'GMIC_2020-Annu_SCDPT1'!SCDPT1_2499999_19+'GMIC_2020-Annu_SCDPT1'!SCDPT1_3199999_19+'GMIC_2020-Annu_SCDPT1'!SCDPT1_3899999_19+'GMIC_2020-Annu_SCDPT1'!SCDPT1_4899999_19+'GMIC_2020-Annu_SCDPT1'!SCDPT1_5599999_19+'GMIC_2020-Annu_SCDPT1'!SCDPT1_6099999_19+'GMIC_2020-Annu_SCDPT1'!SCDPT1_6599999_19</f>
        <v>28787621</v>
      </c>
      <c r="X1091" s="32">
        <f>'GMIC_2020-Annu_SCDPT1'!SCDPT1_0599999_20+'GMIC_2020-Annu_SCDPT1'!SCDPT1_1099999_20+'GMIC_2020-Annu_SCDPT1'!SCDPT1_1799999_20+'GMIC_2020-Annu_SCDPT1'!SCDPT1_2499999_20+'GMIC_2020-Annu_SCDPT1'!SCDPT1_3199999_20+'GMIC_2020-Annu_SCDPT1'!SCDPT1_3899999_20+'GMIC_2020-Annu_SCDPT1'!SCDPT1_4899999_20+'GMIC_2020-Annu_SCDPT1'!SCDPT1_5599999_20+'GMIC_2020-Annu_SCDPT1'!SCDPT1_6099999_20+'GMIC_2020-Annu_SCDPT1'!SCDPT1_6599999_20</f>
        <v>108774698</v>
      </c>
      <c r="Y1091" s="26"/>
      <c r="Z1091" s="26"/>
      <c r="AA1091" s="26"/>
      <c r="AB1091" s="26"/>
      <c r="AC1091" s="26"/>
      <c r="AD1091" s="26"/>
      <c r="AE1091" s="26"/>
      <c r="AF1091" s="26"/>
      <c r="AG1091" s="26"/>
      <c r="AH1091" s="26"/>
      <c r="AI1091" s="26"/>
      <c r="AJ1091" s="26"/>
      <c r="AK1091" s="26"/>
      <c r="AL1091" s="26"/>
      <c r="AM1091" s="26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&amp;CSCDPT1SCDPT1</oddHeader>
    <oddFooter>&amp;LWing Application : &amp;R SaveAs(2/25/2021-10:18 AM)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C36"/>
  <sheetViews>
    <sheetView workbookViewId="0"/>
  </sheetViews>
  <sheetFormatPr defaultRowHeight="13.8" x14ac:dyDescent="0.25"/>
  <cols>
    <col min="1" max="1" width="1.69921875" customWidth="1"/>
    <col min="2" max="2" width="9.69921875" customWidth="1"/>
    <col min="3" max="4" width="25.69921875" customWidth="1"/>
    <col min="5" max="5" width="10.69921875" customWidth="1"/>
    <col min="6" max="6" width="42.69921875" customWidth="1"/>
    <col min="7" max="7" width="12.69921875" customWidth="1"/>
    <col min="8" max="8" width="14.69921875" customWidth="1"/>
    <col min="9" max="9" width="12.69921875" customWidth="1"/>
    <col min="10" max="18" width="14.69921875" customWidth="1"/>
    <col min="19" max="22" width="10.69921875" customWidth="1"/>
    <col min="23" max="23" width="38.69921875" customWidth="1"/>
    <col min="24" max="29" width="10.69921875" customWidth="1"/>
  </cols>
  <sheetData>
    <row r="1" spans="2:29" x14ac:dyDescent="0.25">
      <c r="C1" s="35" t="s">
        <v>1621</v>
      </c>
      <c r="D1" s="35" t="s">
        <v>1151</v>
      </c>
      <c r="E1" s="35" t="s">
        <v>1622</v>
      </c>
      <c r="F1" s="35" t="s">
        <v>245</v>
      </c>
    </row>
    <row r="2" spans="2:29" ht="20.399999999999999" x14ac:dyDescent="0.25">
      <c r="B2" s="52"/>
      <c r="C2" s="45" t="str">
        <f>'GMIC_2020-Annu_SCDPT1'!Wings_Company_ID</f>
        <v>GMIC</v>
      </c>
      <c r="D2" s="45" t="str">
        <f>'GMIC_2020-Annu_SCDPT1'!Wings_Statement_ID</f>
        <v>2020-Annual</v>
      </c>
      <c r="E2" s="41" t="s">
        <v>2174</v>
      </c>
      <c r="F2" s="41" t="s">
        <v>1546</v>
      </c>
    </row>
    <row r="3" spans="2:29" ht="40.049999999999997" customHeight="1" x14ac:dyDescent="0.25">
      <c r="B3" s="59" t="s">
        <v>2429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2:29" ht="40.049999999999997" customHeight="1" x14ac:dyDescent="0.4">
      <c r="B4" s="58" t="s">
        <v>472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2:29" x14ac:dyDescent="0.25">
      <c r="B5" s="57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  <c r="Q5" s="12">
        <v>15</v>
      </c>
      <c r="R5" s="12">
        <v>16</v>
      </c>
      <c r="S5" s="12">
        <v>17</v>
      </c>
      <c r="T5" s="12">
        <v>18.010000000000002</v>
      </c>
      <c r="U5" s="12">
        <v>18.02</v>
      </c>
      <c r="V5" s="12">
        <v>18.03</v>
      </c>
      <c r="W5" s="12">
        <v>19</v>
      </c>
      <c r="X5" s="12">
        <v>20</v>
      </c>
      <c r="Y5" s="12">
        <v>21</v>
      </c>
      <c r="Z5" s="12">
        <v>22</v>
      </c>
      <c r="AA5" s="12">
        <v>23</v>
      </c>
      <c r="AB5" s="12">
        <v>24</v>
      </c>
      <c r="AC5" s="12">
        <v>25</v>
      </c>
    </row>
    <row r="6" spans="2:29" ht="91.8" x14ac:dyDescent="0.25">
      <c r="B6" s="56"/>
      <c r="C6" s="14" t="s">
        <v>3837</v>
      </c>
      <c r="D6" s="14" t="s">
        <v>1978</v>
      </c>
      <c r="E6" s="14" t="s">
        <v>1979</v>
      </c>
      <c r="F6" s="14" t="s">
        <v>3307</v>
      </c>
      <c r="G6" s="14" t="s">
        <v>3472</v>
      </c>
      <c r="H6" s="14" t="s">
        <v>884</v>
      </c>
      <c r="I6" s="14" t="s">
        <v>1098</v>
      </c>
      <c r="J6" s="14" t="s">
        <v>3838</v>
      </c>
      <c r="K6" s="14" t="s">
        <v>1342</v>
      </c>
      <c r="L6" s="14" t="s">
        <v>181</v>
      </c>
      <c r="M6" s="14" t="s">
        <v>473</v>
      </c>
      <c r="N6" s="14" t="s">
        <v>3473</v>
      </c>
      <c r="O6" s="14" t="s">
        <v>885</v>
      </c>
      <c r="P6" s="14" t="s">
        <v>2712</v>
      </c>
      <c r="Q6" s="14" t="s">
        <v>1290</v>
      </c>
      <c r="R6" s="14" t="s">
        <v>2</v>
      </c>
      <c r="S6" s="14" t="s">
        <v>2433</v>
      </c>
      <c r="T6" s="14" t="s">
        <v>2430</v>
      </c>
      <c r="U6" s="14" t="s">
        <v>2213</v>
      </c>
      <c r="V6" s="14" t="s">
        <v>547</v>
      </c>
      <c r="W6" s="14" t="s">
        <v>1626</v>
      </c>
      <c r="X6" s="14" t="s">
        <v>3839</v>
      </c>
      <c r="Y6" s="14" t="s">
        <v>3309</v>
      </c>
      <c r="Z6" s="14" t="s">
        <v>3065</v>
      </c>
      <c r="AA6" s="14" t="s">
        <v>550</v>
      </c>
      <c r="AB6" s="14" t="s">
        <v>2434</v>
      </c>
      <c r="AC6" s="14" t="s">
        <v>2435</v>
      </c>
    </row>
    <row r="7" spans="2:29" x14ac:dyDescent="0.25">
      <c r="B7" s="7" t="s">
        <v>2713</v>
      </c>
      <c r="C7" s="1" t="s">
        <v>2713</v>
      </c>
      <c r="D7" s="8" t="s">
        <v>2713</v>
      </c>
      <c r="E7" s="1" t="s">
        <v>2713</v>
      </c>
      <c r="F7" s="1" t="s">
        <v>2713</v>
      </c>
      <c r="G7" s="1" t="s">
        <v>2713</v>
      </c>
      <c r="H7" s="1" t="s">
        <v>2713</v>
      </c>
      <c r="I7" s="1" t="s">
        <v>2713</v>
      </c>
      <c r="J7" s="1" t="s">
        <v>2713</v>
      </c>
      <c r="K7" s="1" t="s">
        <v>2713</v>
      </c>
      <c r="L7" s="1" t="s">
        <v>2713</v>
      </c>
      <c r="M7" s="1" t="s">
        <v>2713</v>
      </c>
      <c r="N7" s="1" t="s">
        <v>2713</v>
      </c>
      <c r="O7" s="1" t="s">
        <v>2713</v>
      </c>
      <c r="P7" s="1" t="s">
        <v>2713</v>
      </c>
      <c r="Q7" s="1" t="s">
        <v>2713</v>
      </c>
      <c r="R7" s="1" t="s">
        <v>2713</v>
      </c>
      <c r="S7" s="1" t="s">
        <v>2713</v>
      </c>
      <c r="T7" s="1" t="s">
        <v>2713</v>
      </c>
      <c r="U7" s="1" t="s">
        <v>2713</v>
      </c>
      <c r="V7" s="1" t="s">
        <v>2713</v>
      </c>
      <c r="W7" s="1" t="s">
        <v>2713</v>
      </c>
      <c r="X7" s="1" t="s">
        <v>2713</v>
      </c>
      <c r="Y7" s="1" t="s">
        <v>2713</v>
      </c>
      <c r="Z7" s="1" t="s">
        <v>2713</v>
      </c>
      <c r="AA7" s="1" t="s">
        <v>2713</v>
      </c>
      <c r="AB7" s="1" t="s">
        <v>2713</v>
      </c>
      <c r="AC7" s="1" t="s">
        <v>2713</v>
      </c>
    </row>
    <row r="8" spans="2:29" x14ac:dyDescent="0.25">
      <c r="B8" s="18" t="s">
        <v>182</v>
      </c>
      <c r="C8" s="25" t="s">
        <v>3846</v>
      </c>
      <c r="D8" s="20" t="s">
        <v>3</v>
      </c>
      <c r="E8" s="66" t="s">
        <v>3</v>
      </c>
      <c r="F8" s="22" t="s">
        <v>3</v>
      </c>
      <c r="G8" s="28"/>
      <c r="H8" s="4"/>
      <c r="I8" s="23"/>
      <c r="J8" s="4"/>
      <c r="K8" s="4"/>
      <c r="L8" s="4"/>
      <c r="M8" s="4"/>
      <c r="N8" s="4"/>
      <c r="O8" s="4"/>
      <c r="P8" s="4"/>
      <c r="Q8" s="24"/>
      <c r="R8" s="4"/>
      <c r="S8" s="9"/>
      <c r="T8" s="2"/>
      <c r="U8" s="2"/>
      <c r="V8" s="2"/>
      <c r="W8" s="29" t="s">
        <v>3</v>
      </c>
      <c r="X8" s="5" t="s">
        <v>3</v>
      </c>
      <c r="Y8" s="5" t="s">
        <v>3</v>
      </c>
      <c r="Z8" s="5" t="s">
        <v>3</v>
      </c>
      <c r="AA8" s="5" t="s">
        <v>3</v>
      </c>
      <c r="AB8" s="16" t="s">
        <v>3</v>
      </c>
      <c r="AC8" s="2"/>
    </row>
    <row r="9" spans="2:29" x14ac:dyDescent="0.25">
      <c r="B9" s="7" t="s">
        <v>2713</v>
      </c>
      <c r="C9" s="1" t="s">
        <v>2713</v>
      </c>
      <c r="D9" s="8" t="s">
        <v>2713</v>
      </c>
      <c r="E9" s="1" t="s">
        <v>2713</v>
      </c>
      <c r="F9" s="1" t="s">
        <v>2713</v>
      </c>
      <c r="G9" s="1" t="s">
        <v>2713</v>
      </c>
      <c r="H9" s="1" t="s">
        <v>2713</v>
      </c>
      <c r="I9" s="1" t="s">
        <v>2713</v>
      </c>
      <c r="J9" s="1" t="s">
        <v>2713</v>
      </c>
      <c r="K9" s="1" t="s">
        <v>2713</v>
      </c>
      <c r="L9" s="1" t="s">
        <v>2713</v>
      </c>
      <c r="M9" s="1" t="s">
        <v>2713</v>
      </c>
      <c r="N9" s="1" t="s">
        <v>2713</v>
      </c>
      <c r="O9" s="1" t="s">
        <v>2713</v>
      </c>
      <c r="P9" s="1" t="s">
        <v>2713</v>
      </c>
      <c r="Q9" s="1" t="s">
        <v>2713</v>
      </c>
      <c r="R9" s="1" t="s">
        <v>2713</v>
      </c>
      <c r="S9" s="1" t="s">
        <v>2713</v>
      </c>
      <c r="T9" s="1" t="s">
        <v>2713</v>
      </c>
      <c r="U9" s="1" t="s">
        <v>2713</v>
      </c>
      <c r="V9" s="1" t="s">
        <v>2713</v>
      </c>
      <c r="W9" s="1" t="s">
        <v>2713</v>
      </c>
      <c r="X9" s="1" t="s">
        <v>2713</v>
      </c>
      <c r="Y9" s="1" t="s">
        <v>2713</v>
      </c>
      <c r="Z9" s="1" t="s">
        <v>2713</v>
      </c>
      <c r="AA9" s="1" t="s">
        <v>2713</v>
      </c>
      <c r="AB9" s="1" t="s">
        <v>2713</v>
      </c>
      <c r="AC9" s="1" t="s">
        <v>2713</v>
      </c>
    </row>
    <row r="10" spans="2:29" ht="41.4" x14ac:dyDescent="0.25">
      <c r="B10" s="21" t="s">
        <v>1908</v>
      </c>
      <c r="C10" s="19" t="s">
        <v>474</v>
      </c>
      <c r="D10" s="17"/>
      <c r="E10" s="2"/>
      <c r="F10" s="2"/>
      <c r="G10" s="2"/>
      <c r="H10" s="3">
        <f>SUM('GMIC_2020-Annu_SCDPT2SN2'!SCDPT2SN2_90BEGIN_6:'GMIC_2020-Annu_SCDPT2SN2'!SCDPT2SN2_90ENDIN_6)</f>
        <v>0</v>
      </c>
      <c r="I10" s="2"/>
      <c r="J10" s="3">
        <f>SUM('GMIC_2020-Annu_SCDPT2SN2'!SCDPT2SN2_90BEGIN_8:'GMIC_2020-Annu_SCDPT2SN2'!SCDPT2SN2_90ENDIN_8)</f>
        <v>0</v>
      </c>
      <c r="K10" s="3">
        <f>SUM('GMIC_2020-Annu_SCDPT2SN2'!SCDPT2SN2_90BEGIN_9:'GMIC_2020-Annu_SCDPT2SN2'!SCDPT2SN2_90ENDIN_9)</f>
        <v>0</v>
      </c>
      <c r="L10" s="3">
        <f>SUM('GMIC_2020-Annu_SCDPT2SN2'!SCDPT2SN2_90BEGIN_10:'GMIC_2020-Annu_SCDPT2SN2'!SCDPT2SN2_90ENDIN_10)</f>
        <v>0</v>
      </c>
      <c r="M10" s="3">
        <f>SUM('GMIC_2020-Annu_SCDPT2SN2'!SCDPT2SN2_90BEGIN_11:'GMIC_2020-Annu_SCDPT2SN2'!SCDPT2SN2_90ENDIN_11)</f>
        <v>0</v>
      </c>
      <c r="N10" s="3">
        <f>SUM('GMIC_2020-Annu_SCDPT2SN2'!SCDPT2SN2_90BEGIN_12:'GMIC_2020-Annu_SCDPT2SN2'!SCDPT2SN2_90ENDIN_12)</f>
        <v>0</v>
      </c>
      <c r="O10" s="3">
        <f>SUM('GMIC_2020-Annu_SCDPT2SN2'!SCDPT2SN2_90BEGIN_13:'GMIC_2020-Annu_SCDPT2SN2'!SCDPT2SN2_90ENDIN_13)</f>
        <v>0</v>
      </c>
      <c r="P10" s="3">
        <f>SUM('GMIC_2020-Annu_SCDPT2SN2'!SCDPT2SN2_90BEGIN_14:'GMIC_2020-Annu_SCDPT2SN2'!SCDPT2SN2_90ENDIN_14)</f>
        <v>0</v>
      </c>
      <c r="Q10" s="3">
        <f>SUM('GMIC_2020-Annu_SCDPT2SN2'!SCDPT2SN2_90BEGIN_15:'GMIC_2020-Annu_SCDPT2SN2'!SCDPT2SN2_90ENDIN_15)</f>
        <v>0</v>
      </c>
      <c r="R10" s="3">
        <f>SUM('GMIC_2020-Annu_SCDPT2SN2'!SCDPT2SN2_90BEGIN_16:'GMIC_2020-Annu_SCDPT2SN2'!SCDPT2SN2_90ENDIN_16)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29" x14ac:dyDescent="0.25">
      <c r="B11" s="7" t="s">
        <v>2713</v>
      </c>
      <c r="C11" s="1" t="s">
        <v>2713</v>
      </c>
      <c r="D11" s="8" t="s">
        <v>2713</v>
      </c>
      <c r="E11" s="1" t="s">
        <v>2713</v>
      </c>
      <c r="F11" s="1" t="s">
        <v>2713</v>
      </c>
      <c r="G11" s="1" t="s">
        <v>2713</v>
      </c>
      <c r="H11" s="1" t="s">
        <v>2713</v>
      </c>
      <c r="I11" s="1" t="s">
        <v>2713</v>
      </c>
      <c r="J11" s="1" t="s">
        <v>2713</v>
      </c>
      <c r="K11" s="1" t="s">
        <v>2713</v>
      </c>
      <c r="L11" s="1" t="s">
        <v>2713</v>
      </c>
      <c r="M11" s="1" t="s">
        <v>2713</v>
      </c>
      <c r="N11" s="1" t="s">
        <v>2713</v>
      </c>
      <c r="O11" s="1" t="s">
        <v>2713</v>
      </c>
      <c r="P11" s="1" t="s">
        <v>2713</v>
      </c>
      <c r="Q11" s="1" t="s">
        <v>2713</v>
      </c>
      <c r="R11" s="1" t="s">
        <v>2713</v>
      </c>
      <c r="S11" s="1" t="s">
        <v>2713</v>
      </c>
      <c r="T11" s="1" t="s">
        <v>2713</v>
      </c>
      <c r="U11" s="1" t="s">
        <v>2713</v>
      </c>
      <c r="V11" s="1" t="s">
        <v>2713</v>
      </c>
      <c r="W11" s="1" t="s">
        <v>2713</v>
      </c>
      <c r="X11" s="1" t="s">
        <v>2713</v>
      </c>
      <c r="Y11" s="1" t="s">
        <v>2713</v>
      </c>
      <c r="Z11" s="1" t="s">
        <v>2713</v>
      </c>
      <c r="AA11" s="1" t="s">
        <v>2713</v>
      </c>
      <c r="AB11" s="1" t="s">
        <v>2713</v>
      </c>
      <c r="AC11" s="1" t="s">
        <v>2713</v>
      </c>
    </row>
    <row r="12" spans="2:29" x14ac:dyDescent="0.25">
      <c r="B12" s="18" t="s">
        <v>4115</v>
      </c>
      <c r="C12" s="25" t="s">
        <v>3846</v>
      </c>
      <c r="D12" s="20" t="s">
        <v>3</v>
      </c>
      <c r="E12" s="66" t="s">
        <v>3</v>
      </c>
      <c r="F12" s="22" t="s">
        <v>3</v>
      </c>
      <c r="G12" s="28"/>
      <c r="H12" s="4"/>
      <c r="I12" s="23"/>
      <c r="J12" s="4"/>
      <c r="K12" s="4"/>
      <c r="L12" s="4"/>
      <c r="M12" s="4"/>
      <c r="N12" s="4"/>
      <c r="O12" s="4"/>
      <c r="P12" s="4"/>
      <c r="Q12" s="24"/>
      <c r="R12" s="4"/>
      <c r="S12" s="6"/>
      <c r="T12" s="2"/>
      <c r="U12" s="2"/>
      <c r="V12" s="2"/>
      <c r="W12" s="29" t="s">
        <v>3</v>
      </c>
      <c r="X12" s="5" t="s">
        <v>3</v>
      </c>
      <c r="Y12" s="5" t="s">
        <v>3</v>
      </c>
      <c r="Z12" s="5" t="s">
        <v>3</v>
      </c>
      <c r="AA12" s="5" t="s">
        <v>3</v>
      </c>
      <c r="AB12" s="16" t="s">
        <v>3</v>
      </c>
      <c r="AC12" s="2"/>
    </row>
    <row r="13" spans="2:29" x14ac:dyDescent="0.25">
      <c r="B13" s="7" t="s">
        <v>2713</v>
      </c>
      <c r="C13" s="1" t="s">
        <v>2713</v>
      </c>
      <c r="D13" s="8" t="s">
        <v>2713</v>
      </c>
      <c r="E13" s="1" t="s">
        <v>2713</v>
      </c>
      <c r="F13" s="1" t="s">
        <v>2713</v>
      </c>
      <c r="G13" s="1" t="s">
        <v>2713</v>
      </c>
      <c r="H13" s="1" t="s">
        <v>2713</v>
      </c>
      <c r="I13" s="1" t="s">
        <v>2713</v>
      </c>
      <c r="J13" s="1" t="s">
        <v>2713</v>
      </c>
      <c r="K13" s="1" t="s">
        <v>2713</v>
      </c>
      <c r="L13" s="1" t="s">
        <v>2713</v>
      </c>
      <c r="M13" s="1" t="s">
        <v>2713</v>
      </c>
      <c r="N13" s="1" t="s">
        <v>2713</v>
      </c>
      <c r="O13" s="1" t="s">
        <v>2713</v>
      </c>
      <c r="P13" s="1" t="s">
        <v>2713</v>
      </c>
      <c r="Q13" s="1" t="s">
        <v>2713</v>
      </c>
      <c r="R13" s="1" t="s">
        <v>2713</v>
      </c>
      <c r="S13" s="1" t="s">
        <v>2713</v>
      </c>
      <c r="T13" s="1" t="s">
        <v>2713</v>
      </c>
      <c r="U13" s="1" t="s">
        <v>2713</v>
      </c>
      <c r="V13" s="1" t="s">
        <v>2713</v>
      </c>
      <c r="W13" s="1" t="s">
        <v>2713</v>
      </c>
      <c r="X13" s="1" t="s">
        <v>2713</v>
      </c>
      <c r="Y13" s="1" t="s">
        <v>2713</v>
      </c>
      <c r="Z13" s="1" t="s">
        <v>2713</v>
      </c>
      <c r="AA13" s="1" t="s">
        <v>2713</v>
      </c>
      <c r="AB13" s="1" t="s">
        <v>2713</v>
      </c>
      <c r="AC13" s="1" t="s">
        <v>2713</v>
      </c>
    </row>
    <row r="14" spans="2:29" ht="41.4" x14ac:dyDescent="0.25">
      <c r="B14" s="21" t="s">
        <v>1099</v>
      </c>
      <c r="C14" s="19" t="s">
        <v>2992</v>
      </c>
      <c r="D14" s="17"/>
      <c r="E14" s="2"/>
      <c r="F14" s="2"/>
      <c r="G14" s="2"/>
      <c r="H14" s="3">
        <f>SUM('GMIC_2020-Annu_SCDPT2SN2'!SCDPT2SN2_91BEGIN_6:'GMIC_2020-Annu_SCDPT2SN2'!SCDPT2SN2_91ENDIN_6)</f>
        <v>0</v>
      </c>
      <c r="I14" s="2"/>
      <c r="J14" s="3">
        <f>SUM('GMIC_2020-Annu_SCDPT2SN2'!SCDPT2SN2_91BEGIN_8:'GMIC_2020-Annu_SCDPT2SN2'!SCDPT2SN2_91ENDIN_8)</f>
        <v>0</v>
      </c>
      <c r="K14" s="3">
        <f>SUM('GMIC_2020-Annu_SCDPT2SN2'!SCDPT2SN2_91BEGIN_9:'GMIC_2020-Annu_SCDPT2SN2'!SCDPT2SN2_91ENDIN_9)</f>
        <v>0</v>
      </c>
      <c r="L14" s="3">
        <f>SUM('GMIC_2020-Annu_SCDPT2SN2'!SCDPT2SN2_91BEGIN_10:'GMIC_2020-Annu_SCDPT2SN2'!SCDPT2SN2_91ENDIN_10)</f>
        <v>0</v>
      </c>
      <c r="M14" s="3">
        <f>SUM('GMIC_2020-Annu_SCDPT2SN2'!SCDPT2SN2_91BEGIN_11:'GMIC_2020-Annu_SCDPT2SN2'!SCDPT2SN2_91ENDIN_11)</f>
        <v>0</v>
      </c>
      <c r="N14" s="3">
        <f>SUM('GMIC_2020-Annu_SCDPT2SN2'!SCDPT2SN2_91BEGIN_12:'GMIC_2020-Annu_SCDPT2SN2'!SCDPT2SN2_91ENDIN_12)</f>
        <v>0</v>
      </c>
      <c r="O14" s="3">
        <f>SUM('GMIC_2020-Annu_SCDPT2SN2'!SCDPT2SN2_91BEGIN_13:'GMIC_2020-Annu_SCDPT2SN2'!SCDPT2SN2_91ENDIN_13)</f>
        <v>0</v>
      </c>
      <c r="P14" s="3">
        <f>SUM('GMIC_2020-Annu_SCDPT2SN2'!SCDPT2SN2_91BEGIN_14:'GMIC_2020-Annu_SCDPT2SN2'!SCDPT2SN2_91ENDIN_14)</f>
        <v>0</v>
      </c>
      <c r="Q14" s="3">
        <f>SUM('GMIC_2020-Annu_SCDPT2SN2'!SCDPT2SN2_91BEGIN_15:'GMIC_2020-Annu_SCDPT2SN2'!SCDPT2SN2_91ENDIN_15)</f>
        <v>0</v>
      </c>
      <c r="R14" s="3">
        <f>SUM('GMIC_2020-Annu_SCDPT2SN2'!SCDPT2SN2_91BEGIN_16:'GMIC_2020-Annu_SCDPT2SN2'!SCDPT2SN2_91ENDIN_16)</f>
        <v>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29" x14ac:dyDescent="0.25">
      <c r="B15" s="7" t="s">
        <v>2713</v>
      </c>
      <c r="C15" s="1" t="s">
        <v>2713</v>
      </c>
      <c r="D15" s="8" t="s">
        <v>2713</v>
      </c>
      <c r="E15" s="1" t="s">
        <v>2713</v>
      </c>
      <c r="F15" s="1" t="s">
        <v>2713</v>
      </c>
      <c r="G15" s="1" t="s">
        <v>2713</v>
      </c>
      <c r="H15" s="1" t="s">
        <v>2713</v>
      </c>
      <c r="I15" s="1" t="s">
        <v>2713</v>
      </c>
      <c r="J15" s="1" t="s">
        <v>2713</v>
      </c>
      <c r="K15" s="1" t="s">
        <v>2713</v>
      </c>
      <c r="L15" s="1" t="s">
        <v>2713</v>
      </c>
      <c r="M15" s="1" t="s">
        <v>2713</v>
      </c>
      <c r="N15" s="1" t="s">
        <v>2713</v>
      </c>
      <c r="O15" s="1" t="s">
        <v>2713</v>
      </c>
      <c r="P15" s="1" t="s">
        <v>2713</v>
      </c>
      <c r="Q15" s="1" t="s">
        <v>2713</v>
      </c>
      <c r="R15" s="1" t="s">
        <v>2713</v>
      </c>
      <c r="S15" s="1" t="s">
        <v>2713</v>
      </c>
      <c r="T15" s="1" t="s">
        <v>2713</v>
      </c>
      <c r="U15" s="1" t="s">
        <v>2713</v>
      </c>
      <c r="V15" s="1" t="s">
        <v>2713</v>
      </c>
      <c r="W15" s="1" t="s">
        <v>2713</v>
      </c>
      <c r="X15" s="1" t="s">
        <v>2713</v>
      </c>
      <c r="Y15" s="1" t="s">
        <v>2713</v>
      </c>
      <c r="Z15" s="1" t="s">
        <v>2713</v>
      </c>
      <c r="AA15" s="1" t="s">
        <v>2713</v>
      </c>
      <c r="AB15" s="1" t="s">
        <v>2713</v>
      </c>
      <c r="AC15" s="1" t="s">
        <v>2713</v>
      </c>
    </row>
    <row r="16" spans="2:29" x14ac:dyDescent="0.25">
      <c r="B16" s="18" t="s">
        <v>3259</v>
      </c>
      <c r="C16" s="25" t="s">
        <v>3846</v>
      </c>
      <c r="D16" s="20" t="s">
        <v>3</v>
      </c>
      <c r="E16" s="66" t="s">
        <v>3</v>
      </c>
      <c r="F16" s="22" t="s">
        <v>3</v>
      </c>
      <c r="G16" s="28"/>
      <c r="H16" s="4"/>
      <c r="I16" s="23"/>
      <c r="J16" s="4"/>
      <c r="K16" s="4"/>
      <c r="L16" s="4"/>
      <c r="M16" s="4"/>
      <c r="N16" s="4"/>
      <c r="O16" s="4"/>
      <c r="P16" s="4"/>
      <c r="Q16" s="24"/>
      <c r="R16" s="4"/>
      <c r="S16" s="6"/>
      <c r="T16" s="2"/>
      <c r="U16" s="2"/>
      <c r="V16" s="2"/>
      <c r="W16" s="29" t="s">
        <v>3</v>
      </c>
      <c r="X16" s="5" t="s">
        <v>3</v>
      </c>
      <c r="Y16" s="5" t="s">
        <v>3</v>
      </c>
      <c r="Z16" s="5" t="s">
        <v>3</v>
      </c>
      <c r="AA16" s="5" t="s">
        <v>3</v>
      </c>
      <c r="AB16" s="16" t="s">
        <v>3</v>
      </c>
      <c r="AC16" s="2"/>
    </row>
    <row r="17" spans="2:29" x14ac:dyDescent="0.25">
      <c r="B17" s="7" t="s">
        <v>2713</v>
      </c>
      <c r="C17" s="1" t="s">
        <v>2713</v>
      </c>
      <c r="D17" s="8" t="s">
        <v>2713</v>
      </c>
      <c r="E17" s="1" t="s">
        <v>2713</v>
      </c>
      <c r="F17" s="1" t="s">
        <v>2713</v>
      </c>
      <c r="G17" s="1" t="s">
        <v>2713</v>
      </c>
      <c r="H17" s="1" t="s">
        <v>2713</v>
      </c>
      <c r="I17" s="1" t="s">
        <v>2713</v>
      </c>
      <c r="J17" s="1" t="s">
        <v>2713</v>
      </c>
      <c r="K17" s="1" t="s">
        <v>2713</v>
      </c>
      <c r="L17" s="1" t="s">
        <v>2713</v>
      </c>
      <c r="M17" s="1" t="s">
        <v>2713</v>
      </c>
      <c r="N17" s="1" t="s">
        <v>2713</v>
      </c>
      <c r="O17" s="1" t="s">
        <v>2713</v>
      </c>
      <c r="P17" s="1" t="s">
        <v>2713</v>
      </c>
      <c r="Q17" s="1" t="s">
        <v>2713</v>
      </c>
      <c r="R17" s="1" t="s">
        <v>2713</v>
      </c>
      <c r="S17" s="1" t="s">
        <v>2713</v>
      </c>
      <c r="T17" s="1" t="s">
        <v>2713</v>
      </c>
      <c r="U17" s="1" t="s">
        <v>2713</v>
      </c>
      <c r="V17" s="1" t="s">
        <v>2713</v>
      </c>
      <c r="W17" s="1" t="s">
        <v>2713</v>
      </c>
      <c r="X17" s="1" t="s">
        <v>2713</v>
      </c>
      <c r="Y17" s="1" t="s">
        <v>2713</v>
      </c>
      <c r="Z17" s="1" t="s">
        <v>2713</v>
      </c>
      <c r="AA17" s="1" t="s">
        <v>2713</v>
      </c>
      <c r="AB17" s="1" t="s">
        <v>2713</v>
      </c>
      <c r="AC17" s="1" t="s">
        <v>2713</v>
      </c>
    </row>
    <row r="18" spans="2:29" ht="41.4" x14ac:dyDescent="0.25">
      <c r="B18" s="21" t="s">
        <v>183</v>
      </c>
      <c r="C18" s="19" t="s">
        <v>475</v>
      </c>
      <c r="D18" s="17"/>
      <c r="E18" s="2"/>
      <c r="F18" s="2"/>
      <c r="G18" s="2"/>
      <c r="H18" s="3">
        <f>SUM('GMIC_2020-Annu_SCDPT2SN2'!SCDPT2SN2_92BEGIN_6:'GMIC_2020-Annu_SCDPT2SN2'!SCDPT2SN2_92ENDIN_6)</f>
        <v>0</v>
      </c>
      <c r="I18" s="2"/>
      <c r="J18" s="3">
        <f>SUM('GMIC_2020-Annu_SCDPT2SN2'!SCDPT2SN2_92BEGIN_8:'GMIC_2020-Annu_SCDPT2SN2'!SCDPT2SN2_92ENDIN_8)</f>
        <v>0</v>
      </c>
      <c r="K18" s="3">
        <f>SUM('GMIC_2020-Annu_SCDPT2SN2'!SCDPT2SN2_92BEGIN_9:'GMIC_2020-Annu_SCDPT2SN2'!SCDPT2SN2_92ENDIN_9)</f>
        <v>0</v>
      </c>
      <c r="L18" s="3">
        <f>SUM('GMIC_2020-Annu_SCDPT2SN2'!SCDPT2SN2_92BEGIN_10:'GMIC_2020-Annu_SCDPT2SN2'!SCDPT2SN2_92ENDIN_10)</f>
        <v>0</v>
      </c>
      <c r="M18" s="3">
        <f>SUM('GMIC_2020-Annu_SCDPT2SN2'!SCDPT2SN2_92BEGIN_11:'GMIC_2020-Annu_SCDPT2SN2'!SCDPT2SN2_92ENDIN_11)</f>
        <v>0</v>
      </c>
      <c r="N18" s="3">
        <f>SUM('GMIC_2020-Annu_SCDPT2SN2'!SCDPT2SN2_92BEGIN_12:'GMIC_2020-Annu_SCDPT2SN2'!SCDPT2SN2_92ENDIN_12)</f>
        <v>0</v>
      </c>
      <c r="O18" s="3">
        <f>SUM('GMIC_2020-Annu_SCDPT2SN2'!SCDPT2SN2_92BEGIN_13:'GMIC_2020-Annu_SCDPT2SN2'!SCDPT2SN2_92ENDIN_13)</f>
        <v>0</v>
      </c>
      <c r="P18" s="3">
        <f>SUM('GMIC_2020-Annu_SCDPT2SN2'!SCDPT2SN2_92BEGIN_14:'GMIC_2020-Annu_SCDPT2SN2'!SCDPT2SN2_92ENDIN_14)</f>
        <v>0</v>
      </c>
      <c r="Q18" s="3">
        <f>SUM('GMIC_2020-Annu_SCDPT2SN2'!SCDPT2SN2_92BEGIN_15:'GMIC_2020-Annu_SCDPT2SN2'!SCDPT2SN2_92ENDIN_15)</f>
        <v>0</v>
      </c>
      <c r="R18" s="3">
        <f>SUM('GMIC_2020-Annu_SCDPT2SN2'!SCDPT2SN2_92BEGIN_16:'GMIC_2020-Annu_SCDPT2SN2'!SCDPT2SN2_92ENDIN_16)</f>
        <v>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x14ac:dyDescent="0.25">
      <c r="B19" s="7" t="s">
        <v>2713</v>
      </c>
      <c r="C19" s="1" t="s">
        <v>2713</v>
      </c>
      <c r="D19" s="8" t="s">
        <v>2713</v>
      </c>
      <c r="E19" s="1" t="s">
        <v>2713</v>
      </c>
      <c r="F19" s="1" t="s">
        <v>2713</v>
      </c>
      <c r="G19" s="1" t="s">
        <v>2713</v>
      </c>
      <c r="H19" s="1" t="s">
        <v>2713</v>
      </c>
      <c r="I19" s="1" t="s">
        <v>2713</v>
      </c>
      <c r="J19" s="1" t="s">
        <v>2713</v>
      </c>
      <c r="K19" s="1" t="s">
        <v>2713</v>
      </c>
      <c r="L19" s="1" t="s">
        <v>2713</v>
      </c>
      <c r="M19" s="1" t="s">
        <v>2713</v>
      </c>
      <c r="N19" s="1" t="s">
        <v>2713</v>
      </c>
      <c r="O19" s="1" t="s">
        <v>2713</v>
      </c>
      <c r="P19" s="1" t="s">
        <v>2713</v>
      </c>
      <c r="Q19" s="1" t="s">
        <v>2713</v>
      </c>
      <c r="R19" s="1" t="s">
        <v>2713</v>
      </c>
      <c r="S19" s="1" t="s">
        <v>2713</v>
      </c>
      <c r="T19" s="1" t="s">
        <v>2713</v>
      </c>
      <c r="U19" s="1" t="s">
        <v>2713</v>
      </c>
      <c r="V19" s="1" t="s">
        <v>2713</v>
      </c>
      <c r="W19" s="1" t="s">
        <v>2713</v>
      </c>
      <c r="X19" s="1" t="s">
        <v>2713</v>
      </c>
      <c r="Y19" s="1" t="s">
        <v>2713</v>
      </c>
      <c r="Z19" s="1" t="s">
        <v>2713</v>
      </c>
      <c r="AA19" s="1" t="s">
        <v>2713</v>
      </c>
      <c r="AB19" s="1" t="s">
        <v>2713</v>
      </c>
      <c r="AC19" s="1" t="s">
        <v>2713</v>
      </c>
    </row>
    <row r="20" spans="2:29" x14ac:dyDescent="0.25">
      <c r="B20" s="18" t="s">
        <v>3474</v>
      </c>
      <c r="C20" s="44" t="s">
        <v>2175</v>
      </c>
      <c r="D20" s="20" t="s">
        <v>3752</v>
      </c>
      <c r="E20" s="66" t="s">
        <v>3</v>
      </c>
      <c r="F20" s="22" t="s">
        <v>2218</v>
      </c>
      <c r="G20" s="28">
        <v>80</v>
      </c>
      <c r="H20" s="4">
        <v>3000</v>
      </c>
      <c r="I20" s="23">
        <v>37.5</v>
      </c>
      <c r="J20" s="4">
        <v>3000</v>
      </c>
      <c r="K20" s="4">
        <v>3000</v>
      </c>
      <c r="L20" s="4"/>
      <c r="M20" s="4"/>
      <c r="N20" s="4"/>
      <c r="O20" s="4"/>
      <c r="P20" s="4"/>
      <c r="Q20" s="24">
        <v>0</v>
      </c>
      <c r="R20" s="4"/>
      <c r="S20" s="10">
        <v>39084</v>
      </c>
      <c r="T20" s="2"/>
      <c r="U20" s="2"/>
      <c r="V20" s="2"/>
      <c r="W20" s="29" t="s">
        <v>1684</v>
      </c>
      <c r="X20" s="5" t="s">
        <v>3</v>
      </c>
      <c r="Y20" s="5" t="s">
        <v>3</v>
      </c>
      <c r="Z20" s="5" t="s">
        <v>3</v>
      </c>
      <c r="AA20" s="5" t="s">
        <v>3</v>
      </c>
      <c r="AB20" s="16" t="s">
        <v>3</v>
      </c>
      <c r="AC20" s="2"/>
    </row>
    <row r="21" spans="2:29" x14ac:dyDescent="0.25">
      <c r="B21" s="7" t="s">
        <v>2713</v>
      </c>
      <c r="C21" s="1" t="s">
        <v>2713</v>
      </c>
      <c r="D21" s="8" t="s">
        <v>2713</v>
      </c>
      <c r="E21" s="1" t="s">
        <v>2713</v>
      </c>
      <c r="F21" s="1" t="s">
        <v>2713</v>
      </c>
      <c r="G21" s="1" t="s">
        <v>2713</v>
      </c>
      <c r="H21" s="1" t="s">
        <v>2713</v>
      </c>
      <c r="I21" s="1" t="s">
        <v>2713</v>
      </c>
      <c r="J21" s="1" t="s">
        <v>2713</v>
      </c>
      <c r="K21" s="1" t="s">
        <v>2713</v>
      </c>
      <c r="L21" s="1" t="s">
        <v>2713</v>
      </c>
      <c r="M21" s="1" t="s">
        <v>2713</v>
      </c>
      <c r="N21" s="1" t="s">
        <v>2713</v>
      </c>
      <c r="O21" s="1" t="s">
        <v>2713</v>
      </c>
      <c r="P21" s="1" t="s">
        <v>2713</v>
      </c>
      <c r="Q21" s="1" t="s">
        <v>2713</v>
      </c>
      <c r="R21" s="1" t="s">
        <v>2713</v>
      </c>
      <c r="S21" s="1" t="s">
        <v>2713</v>
      </c>
      <c r="T21" s="1" t="s">
        <v>2713</v>
      </c>
      <c r="U21" s="1" t="s">
        <v>2713</v>
      </c>
      <c r="V21" s="1" t="s">
        <v>2713</v>
      </c>
      <c r="W21" s="1" t="s">
        <v>2713</v>
      </c>
      <c r="X21" s="1" t="s">
        <v>2713</v>
      </c>
      <c r="Y21" s="1" t="s">
        <v>2713</v>
      </c>
      <c r="Z21" s="1" t="s">
        <v>2713</v>
      </c>
      <c r="AA21" s="1" t="s">
        <v>2713</v>
      </c>
      <c r="AB21" s="1" t="s">
        <v>2713</v>
      </c>
      <c r="AC21" s="1" t="s">
        <v>2713</v>
      </c>
    </row>
    <row r="22" spans="2:29" ht="41.4" x14ac:dyDescent="0.25">
      <c r="B22" s="21" t="s">
        <v>3753</v>
      </c>
      <c r="C22" s="19" t="s">
        <v>1547</v>
      </c>
      <c r="D22" s="17"/>
      <c r="E22" s="2"/>
      <c r="F22" s="2"/>
      <c r="G22" s="2"/>
      <c r="H22" s="3">
        <f>SUM('GMIC_2020-Annu_SCDPT2SN2'!SCDPT2SN2_93BEGIN_6:'GMIC_2020-Annu_SCDPT2SN2'!SCDPT2SN2_93ENDIN_6)</f>
        <v>3000</v>
      </c>
      <c r="I22" s="2"/>
      <c r="J22" s="3">
        <f>SUM('GMIC_2020-Annu_SCDPT2SN2'!SCDPT2SN2_93BEGIN_8:'GMIC_2020-Annu_SCDPT2SN2'!SCDPT2SN2_93ENDIN_8)</f>
        <v>3000</v>
      </c>
      <c r="K22" s="3">
        <f>SUM('GMIC_2020-Annu_SCDPT2SN2'!SCDPT2SN2_93BEGIN_9:'GMIC_2020-Annu_SCDPT2SN2'!SCDPT2SN2_93ENDIN_9)</f>
        <v>3000</v>
      </c>
      <c r="L22" s="3">
        <f>SUM('GMIC_2020-Annu_SCDPT2SN2'!SCDPT2SN2_93BEGIN_10:'GMIC_2020-Annu_SCDPT2SN2'!SCDPT2SN2_93ENDIN_10)</f>
        <v>0</v>
      </c>
      <c r="M22" s="3">
        <f>SUM('GMIC_2020-Annu_SCDPT2SN2'!SCDPT2SN2_93BEGIN_11:'GMIC_2020-Annu_SCDPT2SN2'!SCDPT2SN2_93ENDIN_11)</f>
        <v>0</v>
      </c>
      <c r="N22" s="3">
        <f>SUM('GMIC_2020-Annu_SCDPT2SN2'!SCDPT2SN2_93BEGIN_12:'GMIC_2020-Annu_SCDPT2SN2'!SCDPT2SN2_93ENDIN_12)</f>
        <v>0</v>
      </c>
      <c r="O22" s="3">
        <f>SUM('GMIC_2020-Annu_SCDPT2SN2'!SCDPT2SN2_93BEGIN_13:'GMIC_2020-Annu_SCDPT2SN2'!SCDPT2SN2_93ENDIN_13)</f>
        <v>0</v>
      </c>
      <c r="P22" s="3">
        <f>SUM('GMIC_2020-Annu_SCDPT2SN2'!SCDPT2SN2_93BEGIN_14:'GMIC_2020-Annu_SCDPT2SN2'!SCDPT2SN2_93ENDIN_14)</f>
        <v>0</v>
      </c>
      <c r="Q22" s="3">
        <f>SUM('GMIC_2020-Annu_SCDPT2SN2'!SCDPT2SN2_93BEGIN_15:'GMIC_2020-Annu_SCDPT2SN2'!SCDPT2SN2_93ENDIN_15)</f>
        <v>0</v>
      </c>
      <c r="R22" s="3">
        <f>SUM('GMIC_2020-Annu_SCDPT2SN2'!SCDPT2SN2_93BEGIN_16:'GMIC_2020-Annu_SCDPT2SN2'!SCDPT2SN2_93ENDIN_16)</f>
        <v>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2:29" x14ac:dyDescent="0.25">
      <c r="B23" s="7" t="s">
        <v>2713</v>
      </c>
      <c r="C23" s="1" t="s">
        <v>2713</v>
      </c>
      <c r="D23" s="8" t="s">
        <v>2713</v>
      </c>
      <c r="E23" s="1" t="s">
        <v>2713</v>
      </c>
      <c r="F23" s="1" t="s">
        <v>2713</v>
      </c>
      <c r="G23" s="1" t="s">
        <v>2713</v>
      </c>
      <c r="H23" s="1" t="s">
        <v>2713</v>
      </c>
      <c r="I23" s="1" t="s">
        <v>2713</v>
      </c>
      <c r="J23" s="1" t="s">
        <v>2713</v>
      </c>
      <c r="K23" s="1" t="s">
        <v>2713</v>
      </c>
      <c r="L23" s="1" t="s">
        <v>2713</v>
      </c>
      <c r="M23" s="1" t="s">
        <v>2713</v>
      </c>
      <c r="N23" s="1" t="s">
        <v>2713</v>
      </c>
      <c r="O23" s="1" t="s">
        <v>2713</v>
      </c>
      <c r="P23" s="1" t="s">
        <v>2713</v>
      </c>
      <c r="Q23" s="1" t="s">
        <v>2713</v>
      </c>
      <c r="R23" s="1" t="s">
        <v>2713</v>
      </c>
      <c r="S23" s="1" t="s">
        <v>2713</v>
      </c>
      <c r="T23" s="1" t="s">
        <v>2713</v>
      </c>
      <c r="U23" s="1" t="s">
        <v>2713</v>
      </c>
      <c r="V23" s="1" t="s">
        <v>2713</v>
      </c>
      <c r="W23" s="1" t="s">
        <v>2713</v>
      </c>
      <c r="X23" s="1" t="s">
        <v>2713</v>
      </c>
      <c r="Y23" s="1" t="s">
        <v>2713</v>
      </c>
      <c r="Z23" s="1" t="s">
        <v>2713</v>
      </c>
      <c r="AA23" s="1" t="s">
        <v>2713</v>
      </c>
      <c r="AB23" s="1" t="s">
        <v>2713</v>
      </c>
      <c r="AC23" s="1" t="s">
        <v>2713</v>
      </c>
    </row>
    <row r="24" spans="2:29" x14ac:dyDescent="0.25">
      <c r="B24" s="18" t="s">
        <v>1548</v>
      </c>
      <c r="C24" s="25" t="s">
        <v>3846</v>
      </c>
      <c r="D24" s="20" t="s">
        <v>3</v>
      </c>
      <c r="E24" s="66" t="s">
        <v>3</v>
      </c>
      <c r="F24" s="22" t="s">
        <v>3</v>
      </c>
      <c r="G24" s="28"/>
      <c r="H24" s="4"/>
      <c r="I24" s="23"/>
      <c r="J24" s="4"/>
      <c r="K24" s="4"/>
      <c r="L24" s="4"/>
      <c r="M24" s="4"/>
      <c r="N24" s="4"/>
      <c r="O24" s="4"/>
      <c r="P24" s="4"/>
      <c r="Q24" s="24"/>
      <c r="R24" s="4"/>
      <c r="S24" s="6"/>
      <c r="T24" s="33" t="s">
        <v>3</v>
      </c>
      <c r="U24" s="34" t="s">
        <v>3</v>
      </c>
      <c r="V24" s="73" t="s">
        <v>3</v>
      </c>
      <c r="W24" s="29" t="s">
        <v>3</v>
      </c>
      <c r="X24" s="5" t="s">
        <v>3</v>
      </c>
      <c r="Y24" s="5" t="s">
        <v>3</v>
      </c>
      <c r="Z24" s="5" t="s">
        <v>3</v>
      </c>
      <c r="AA24" s="5" t="s">
        <v>3</v>
      </c>
      <c r="AB24" s="16" t="s">
        <v>3</v>
      </c>
      <c r="AC24" s="31" t="s">
        <v>3</v>
      </c>
    </row>
    <row r="25" spans="2:29" x14ac:dyDescent="0.25">
      <c r="B25" s="7" t="s">
        <v>2713</v>
      </c>
      <c r="C25" s="1" t="s">
        <v>2713</v>
      </c>
      <c r="D25" s="8" t="s">
        <v>2713</v>
      </c>
      <c r="E25" s="1" t="s">
        <v>2713</v>
      </c>
      <c r="F25" s="1" t="s">
        <v>2713</v>
      </c>
      <c r="G25" s="1" t="s">
        <v>2713</v>
      </c>
      <c r="H25" s="1" t="s">
        <v>2713</v>
      </c>
      <c r="I25" s="1" t="s">
        <v>2713</v>
      </c>
      <c r="J25" s="1" t="s">
        <v>2713</v>
      </c>
      <c r="K25" s="1" t="s">
        <v>2713</v>
      </c>
      <c r="L25" s="1" t="s">
        <v>2713</v>
      </c>
      <c r="M25" s="1" t="s">
        <v>2713</v>
      </c>
      <c r="N25" s="1" t="s">
        <v>2713</v>
      </c>
      <c r="O25" s="1" t="s">
        <v>2713</v>
      </c>
      <c r="P25" s="1" t="s">
        <v>2713</v>
      </c>
      <c r="Q25" s="1" t="s">
        <v>2713</v>
      </c>
      <c r="R25" s="1" t="s">
        <v>2713</v>
      </c>
      <c r="S25" s="1" t="s">
        <v>2713</v>
      </c>
      <c r="T25" s="1" t="s">
        <v>2713</v>
      </c>
      <c r="U25" s="1" t="s">
        <v>2713</v>
      </c>
      <c r="V25" s="1" t="s">
        <v>2713</v>
      </c>
      <c r="W25" s="1" t="s">
        <v>2713</v>
      </c>
      <c r="X25" s="1" t="s">
        <v>2713</v>
      </c>
      <c r="Y25" s="1" t="s">
        <v>2713</v>
      </c>
      <c r="Z25" s="1" t="s">
        <v>2713</v>
      </c>
      <c r="AA25" s="1" t="s">
        <v>2713</v>
      </c>
      <c r="AB25" s="1" t="s">
        <v>2713</v>
      </c>
      <c r="AC25" s="1" t="s">
        <v>2713</v>
      </c>
    </row>
    <row r="26" spans="2:29" x14ac:dyDescent="0.25">
      <c r="B26" s="21" t="s">
        <v>3260</v>
      </c>
      <c r="C26" s="19" t="s">
        <v>1291</v>
      </c>
      <c r="D26" s="17"/>
      <c r="E26" s="2"/>
      <c r="F26" s="2"/>
      <c r="G26" s="2"/>
      <c r="H26" s="3">
        <f>SUM('GMIC_2020-Annu_SCDPT2SN2'!SCDPT2SN2_94BEGIN_6:'GMIC_2020-Annu_SCDPT2SN2'!SCDPT2SN2_94ENDIN_6)</f>
        <v>0</v>
      </c>
      <c r="I26" s="2"/>
      <c r="J26" s="3">
        <f>SUM('GMIC_2020-Annu_SCDPT2SN2'!SCDPT2SN2_94BEGIN_8:'GMIC_2020-Annu_SCDPT2SN2'!SCDPT2SN2_94ENDIN_8)</f>
        <v>0</v>
      </c>
      <c r="K26" s="3">
        <f>SUM('GMIC_2020-Annu_SCDPT2SN2'!SCDPT2SN2_94BEGIN_9:'GMIC_2020-Annu_SCDPT2SN2'!SCDPT2SN2_94ENDIN_9)</f>
        <v>0</v>
      </c>
      <c r="L26" s="3">
        <f>SUM('GMIC_2020-Annu_SCDPT2SN2'!SCDPT2SN2_94BEGIN_10:'GMIC_2020-Annu_SCDPT2SN2'!SCDPT2SN2_94ENDIN_10)</f>
        <v>0</v>
      </c>
      <c r="M26" s="3">
        <f>SUM('GMIC_2020-Annu_SCDPT2SN2'!SCDPT2SN2_94BEGIN_11:'GMIC_2020-Annu_SCDPT2SN2'!SCDPT2SN2_94ENDIN_11)</f>
        <v>0</v>
      </c>
      <c r="N26" s="3">
        <f>SUM('GMIC_2020-Annu_SCDPT2SN2'!SCDPT2SN2_94BEGIN_12:'GMIC_2020-Annu_SCDPT2SN2'!SCDPT2SN2_94ENDIN_12)</f>
        <v>0</v>
      </c>
      <c r="O26" s="3">
        <f>SUM('GMIC_2020-Annu_SCDPT2SN2'!SCDPT2SN2_94BEGIN_13:'GMIC_2020-Annu_SCDPT2SN2'!SCDPT2SN2_94ENDIN_13)</f>
        <v>0</v>
      </c>
      <c r="P26" s="3">
        <f>SUM('GMIC_2020-Annu_SCDPT2SN2'!SCDPT2SN2_94BEGIN_14:'GMIC_2020-Annu_SCDPT2SN2'!SCDPT2SN2_94ENDIN_14)</f>
        <v>0</v>
      </c>
      <c r="Q26" s="3">
        <f>SUM('GMIC_2020-Annu_SCDPT2SN2'!SCDPT2SN2_94BEGIN_15:'GMIC_2020-Annu_SCDPT2SN2'!SCDPT2SN2_94ENDIN_15)</f>
        <v>0</v>
      </c>
      <c r="R26" s="3">
        <f>SUM('GMIC_2020-Annu_SCDPT2SN2'!SCDPT2SN2_94BEGIN_16:'GMIC_2020-Annu_SCDPT2SN2'!SCDPT2SN2_94ENDIN_16)</f>
        <v>0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2:29" x14ac:dyDescent="0.25">
      <c r="B27" s="7" t="s">
        <v>2713</v>
      </c>
      <c r="C27" s="1" t="s">
        <v>2713</v>
      </c>
      <c r="D27" s="8" t="s">
        <v>2713</v>
      </c>
      <c r="E27" s="1" t="s">
        <v>2713</v>
      </c>
      <c r="F27" s="1" t="s">
        <v>2713</v>
      </c>
      <c r="G27" s="1" t="s">
        <v>2713</v>
      </c>
      <c r="H27" s="1" t="s">
        <v>2713</v>
      </c>
      <c r="I27" s="1" t="s">
        <v>2713</v>
      </c>
      <c r="J27" s="1" t="s">
        <v>2713</v>
      </c>
      <c r="K27" s="1" t="s">
        <v>2713</v>
      </c>
      <c r="L27" s="1" t="s">
        <v>2713</v>
      </c>
      <c r="M27" s="1" t="s">
        <v>2713</v>
      </c>
      <c r="N27" s="1" t="s">
        <v>2713</v>
      </c>
      <c r="O27" s="1" t="s">
        <v>2713</v>
      </c>
      <c r="P27" s="1" t="s">
        <v>2713</v>
      </c>
      <c r="Q27" s="1" t="s">
        <v>2713</v>
      </c>
      <c r="R27" s="1" t="s">
        <v>2713</v>
      </c>
      <c r="S27" s="1" t="s">
        <v>2713</v>
      </c>
      <c r="T27" s="1" t="s">
        <v>2713</v>
      </c>
      <c r="U27" s="1" t="s">
        <v>2713</v>
      </c>
      <c r="V27" s="1" t="s">
        <v>2713</v>
      </c>
      <c r="W27" s="1" t="s">
        <v>2713</v>
      </c>
      <c r="X27" s="1" t="s">
        <v>2713</v>
      </c>
      <c r="Y27" s="1" t="s">
        <v>2713</v>
      </c>
      <c r="Z27" s="1" t="s">
        <v>2713</v>
      </c>
      <c r="AA27" s="1" t="s">
        <v>2713</v>
      </c>
      <c r="AB27" s="1" t="s">
        <v>2713</v>
      </c>
      <c r="AC27" s="1" t="s">
        <v>2713</v>
      </c>
    </row>
    <row r="28" spans="2:29" x14ac:dyDescent="0.25">
      <c r="B28" s="18" t="s">
        <v>1100</v>
      </c>
      <c r="C28" s="25" t="s">
        <v>3846</v>
      </c>
      <c r="D28" s="20" t="s">
        <v>3</v>
      </c>
      <c r="E28" s="66" t="s">
        <v>3</v>
      </c>
      <c r="F28" s="22" t="s">
        <v>3</v>
      </c>
      <c r="G28" s="28"/>
      <c r="H28" s="4"/>
      <c r="I28" s="23"/>
      <c r="J28" s="4"/>
      <c r="K28" s="4"/>
      <c r="L28" s="4"/>
      <c r="M28" s="4"/>
      <c r="N28" s="4"/>
      <c r="O28" s="4"/>
      <c r="P28" s="4"/>
      <c r="Q28" s="24"/>
      <c r="R28" s="4"/>
      <c r="S28" s="6"/>
      <c r="T28" s="33" t="s">
        <v>3</v>
      </c>
      <c r="U28" s="34" t="s">
        <v>3</v>
      </c>
      <c r="V28" s="73" t="s">
        <v>3</v>
      </c>
      <c r="W28" s="29" t="s">
        <v>3</v>
      </c>
      <c r="X28" s="5" t="s">
        <v>3</v>
      </c>
      <c r="Y28" s="5" t="s">
        <v>3</v>
      </c>
      <c r="Z28" s="5" t="s">
        <v>3</v>
      </c>
      <c r="AA28" s="5" t="s">
        <v>3</v>
      </c>
      <c r="AB28" s="16" t="s">
        <v>3</v>
      </c>
      <c r="AC28" s="31" t="s">
        <v>3</v>
      </c>
    </row>
    <row r="29" spans="2:29" x14ac:dyDescent="0.25">
      <c r="B29" s="7" t="s">
        <v>2713</v>
      </c>
      <c r="C29" s="1" t="s">
        <v>2713</v>
      </c>
      <c r="D29" s="8" t="s">
        <v>2713</v>
      </c>
      <c r="E29" s="1" t="s">
        <v>2713</v>
      </c>
      <c r="F29" s="1" t="s">
        <v>2713</v>
      </c>
      <c r="G29" s="1" t="s">
        <v>2713</v>
      </c>
      <c r="H29" s="1" t="s">
        <v>2713</v>
      </c>
      <c r="I29" s="1" t="s">
        <v>2713</v>
      </c>
      <c r="J29" s="1" t="s">
        <v>2713</v>
      </c>
      <c r="K29" s="1" t="s">
        <v>2713</v>
      </c>
      <c r="L29" s="1" t="s">
        <v>2713</v>
      </c>
      <c r="M29" s="1" t="s">
        <v>2713</v>
      </c>
      <c r="N29" s="1" t="s">
        <v>2713</v>
      </c>
      <c r="O29" s="1" t="s">
        <v>2713</v>
      </c>
      <c r="P29" s="1" t="s">
        <v>2713</v>
      </c>
      <c r="Q29" s="1" t="s">
        <v>2713</v>
      </c>
      <c r="R29" s="1" t="s">
        <v>2713</v>
      </c>
      <c r="S29" s="1" t="s">
        <v>2713</v>
      </c>
      <c r="T29" s="1" t="s">
        <v>2713</v>
      </c>
      <c r="U29" s="1" t="s">
        <v>2713</v>
      </c>
      <c r="V29" s="1" t="s">
        <v>2713</v>
      </c>
      <c r="W29" s="1" t="s">
        <v>2713</v>
      </c>
      <c r="X29" s="1" t="s">
        <v>2713</v>
      </c>
      <c r="Y29" s="1" t="s">
        <v>2713</v>
      </c>
      <c r="Z29" s="1" t="s">
        <v>2713</v>
      </c>
      <c r="AA29" s="1" t="s">
        <v>2713</v>
      </c>
      <c r="AB29" s="1" t="s">
        <v>2713</v>
      </c>
      <c r="AC29" s="1" t="s">
        <v>2713</v>
      </c>
    </row>
    <row r="30" spans="2:29" ht="27.6" x14ac:dyDescent="0.25">
      <c r="B30" s="21" t="s">
        <v>2374</v>
      </c>
      <c r="C30" s="19" t="s">
        <v>3475</v>
      </c>
      <c r="D30" s="17"/>
      <c r="E30" s="2"/>
      <c r="F30" s="2"/>
      <c r="G30" s="2"/>
      <c r="H30" s="3">
        <f>SUM('GMIC_2020-Annu_SCDPT2SN2'!SCDPT2SN2_95BEGIN_6:'GMIC_2020-Annu_SCDPT2SN2'!SCDPT2SN2_95ENDIN_6)</f>
        <v>0</v>
      </c>
      <c r="I30" s="2"/>
      <c r="J30" s="3">
        <f>SUM('GMIC_2020-Annu_SCDPT2SN2'!SCDPT2SN2_95BEGIN_8:'GMIC_2020-Annu_SCDPT2SN2'!SCDPT2SN2_95ENDIN_8)</f>
        <v>0</v>
      </c>
      <c r="K30" s="3">
        <f>SUM('GMIC_2020-Annu_SCDPT2SN2'!SCDPT2SN2_95BEGIN_9:'GMIC_2020-Annu_SCDPT2SN2'!SCDPT2SN2_95ENDIN_9)</f>
        <v>0</v>
      </c>
      <c r="L30" s="3">
        <f>SUM('GMIC_2020-Annu_SCDPT2SN2'!SCDPT2SN2_95BEGIN_10:'GMIC_2020-Annu_SCDPT2SN2'!SCDPT2SN2_95ENDIN_10)</f>
        <v>0</v>
      </c>
      <c r="M30" s="3">
        <f>SUM('GMIC_2020-Annu_SCDPT2SN2'!SCDPT2SN2_95BEGIN_11:'GMIC_2020-Annu_SCDPT2SN2'!SCDPT2SN2_95ENDIN_11)</f>
        <v>0</v>
      </c>
      <c r="N30" s="3">
        <f>SUM('GMIC_2020-Annu_SCDPT2SN2'!SCDPT2SN2_95BEGIN_12:'GMIC_2020-Annu_SCDPT2SN2'!SCDPT2SN2_95ENDIN_12)</f>
        <v>0</v>
      </c>
      <c r="O30" s="3">
        <f>SUM('GMIC_2020-Annu_SCDPT2SN2'!SCDPT2SN2_95BEGIN_13:'GMIC_2020-Annu_SCDPT2SN2'!SCDPT2SN2_95ENDIN_13)</f>
        <v>0</v>
      </c>
      <c r="P30" s="3">
        <f>SUM('GMIC_2020-Annu_SCDPT2SN2'!SCDPT2SN2_95BEGIN_14:'GMIC_2020-Annu_SCDPT2SN2'!SCDPT2SN2_95ENDIN_14)</f>
        <v>0</v>
      </c>
      <c r="Q30" s="3">
        <f>SUM('GMIC_2020-Annu_SCDPT2SN2'!SCDPT2SN2_95BEGIN_15:'GMIC_2020-Annu_SCDPT2SN2'!SCDPT2SN2_95ENDIN_15)</f>
        <v>0</v>
      </c>
      <c r="R30" s="3">
        <f>SUM('GMIC_2020-Annu_SCDPT2SN2'!SCDPT2SN2_95BEGIN_16:'GMIC_2020-Annu_SCDPT2SN2'!SCDPT2SN2_95ENDIN_16)</f>
        <v>0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2:29" x14ac:dyDescent="0.25">
      <c r="B31" s="7" t="s">
        <v>2713</v>
      </c>
      <c r="C31" s="1" t="s">
        <v>2713</v>
      </c>
      <c r="D31" s="8" t="s">
        <v>2713</v>
      </c>
      <c r="E31" s="1" t="s">
        <v>2713</v>
      </c>
      <c r="F31" s="1" t="s">
        <v>2713</v>
      </c>
      <c r="G31" s="1" t="s">
        <v>2713</v>
      </c>
      <c r="H31" s="1" t="s">
        <v>2713</v>
      </c>
      <c r="I31" s="1" t="s">
        <v>2713</v>
      </c>
      <c r="J31" s="1" t="s">
        <v>2713</v>
      </c>
      <c r="K31" s="1" t="s">
        <v>2713</v>
      </c>
      <c r="L31" s="1" t="s">
        <v>2713</v>
      </c>
      <c r="M31" s="1" t="s">
        <v>2713</v>
      </c>
      <c r="N31" s="1" t="s">
        <v>2713</v>
      </c>
      <c r="O31" s="1" t="s">
        <v>2713</v>
      </c>
      <c r="P31" s="1" t="s">
        <v>2713</v>
      </c>
      <c r="Q31" s="1" t="s">
        <v>2713</v>
      </c>
      <c r="R31" s="1" t="s">
        <v>2713</v>
      </c>
      <c r="S31" s="1" t="s">
        <v>2713</v>
      </c>
      <c r="T31" s="1" t="s">
        <v>2713</v>
      </c>
      <c r="U31" s="1" t="s">
        <v>2713</v>
      </c>
      <c r="V31" s="1" t="s">
        <v>2713</v>
      </c>
      <c r="W31" s="1" t="s">
        <v>2713</v>
      </c>
      <c r="X31" s="1" t="s">
        <v>2713</v>
      </c>
      <c r="Y31" s="1" t="s">
        <v>2713</v>
      </c>
      <c r="Z31" s="1" t="s">
        <v>2713</v>
      </c>
      <c r="AA31" s="1" t="s">
        <v>2713</v>
      </c>
      <c r="AB31" s="1" t="s">
        <v>2713</v>
      </c>
      <c r="AC31" s="1" t="s">
        <v>2713</v>
      </c>
    </row>
    <row r="32" spans="2:29" x14ac:dyDescent="0.25">
      <c r="B32" s="18" t="s">
        <v>184</v>
      </c>
      <c r="C32" s="25" t="s">
        <v>3846</v>
      </c>
      <c r="D32" s="20" t="s">
        <v>3</v>
      </c>
      <c r="E32" s="66" t="s">
        <v>3</v>
      </c>
      <c r="F32" s="22" t="s">
        <v>3</v>
      </c>
      <c r="G32" s="28"/>
      <c r="H32" s="4"/>
      <c r="I32" s="23"/>
      <c r="J32" s="4"/>
      <c r="K32" s="4"/>
      <c r="L32" s="4"/>
      <c r="M32" s="4"/>
      <c r="N32" s="4"/>
      <c r="O32" s="4"/>
      <c r="P32" s="4"/>
      <c r="Q32" s="24"/>
      <c r="R32" s="4"/>
      <c r="S32" s="6"/>
      <c r="T32" s="33" t="s">
        <v>3</v>
      </c>
      <c r="U32" s="34" t="s">
        <v>3</v>
      </c>
      <c r="V32" s="73" t="s">
        <v>3</v>
      </c>
      <c r="W32" s="29" t="s">
        <v>3</v>
      </c>
      <c r="X32" s="5" t="s">
        <v>3</v>
      </c>
      <c r="Y32" s="5" t="s">
        <v>3</v>
      </c>
      <c r="Z32" s="5" t="s">
        <v>3</v>
      </c>
      <c r="AA32" s="5" t="s">
        <v>3</v>
      </c>
      <c r="AB32" s="16" t="s">
        <v>3</v>
      </c>
      <c r="AC32" s="31" t="s">
        <v>3</v>
      </c>
    </row>
    <row r="33" spans="2:29" x14ac:dyDescent="0.25">
      <c r="B33" s="7" t="s">
        <v>2713</v>
      </c>
      <c r="C33" s="1" t="s">
        <v>2713</v>
      </c>
      <c r="D33" s="8" t="s">
        <v>2713</v>
      </c>
      <c r="E33" s="1" t="s">
        <v>2713</v>
      </c>
      <c r="F33" s="1" t="s">
        <v>2713</v>
      </c>
      <c r="G33" s="1" t="s">
        <v>2713</v>
      </c>
      <c r="H33" s="1" t="s">
        <v>2713</v>
      </c>
      <c r="I33" s="1" t="s">
        <v>2713</v>
      </c>
      <c r="J33" s="1" t="s">
        <v>2713</v>
      </c>
      <c r="K33" s="1" t="s">
        <v>2713</v>
      </c>
      <c r="L33" s="1" t="s">
        <v>2713</v>
      </c>
      <c r="M33" s="1" t="s">
        <v>2713</v>
      </c>
      <c r="N33" s="1" t="s">
        <v>2713</v>
      </c>
      <c r="O33" s="1" t="s">
        <v>2713</v>
      </c>
      <c r="P33" s="1" t="s">
        <v>2713</v>
      </c>
      <c r="Q33" s="1" t="s">
        <v>2713</v>
      </c>
      <c r="R33" s="1" t="s">
        <v>2713</v>
      </c>
      <c r="S33" s="1" t="s">
        <v>2713</v>
      </c>
      <c r="T33" s="1" t="s">
        <v>2713</v>
      </c>
      <c r="U33" s="1" t="s">
        <v>2713</v>
      </c>
      <c r="V33" s="1" t="s">
        <v>2713</v>
      </c>
      <c r="W33" s="1" t="s">
        <v>2713</v>
      </c>
      <c r="X33" s="1" t="s">
        <v>2713</v>
      </c>
      <c r="Y33" s="1" t="s">
        <v>2713</v>
      </c>
      <c r="Z33" s="1" t="s">
        <v>2713</v>
      </c>
      <c r="AA33" s="1" t="s">
        <v>2713</v>
      </c>
      <c r="AB33" s="1" t="s">
        <v>2713</v>
      </c>
      <c r="AC33" s="1" t="s">
        <v>2713</v>
      </c>
    </row>
    <row r="34" spans="2:29" x14ac:dyDescent="0.25">
      <c r="B34" s="21" t="s">
        <v>1549</v>
      </c>
      <c r="C34" s="19" t="s">
        <v>1909</v>
      </c>
      <c r="D34" s="17"/>
      <c r="E34" s="2"/>
      <c r="F34" s="2"/>
      <c r="G34" s="2"/>
      <c r="H34" s="3">
        <f>SUM('GMIC_2020-Annu_SCDPT2SN2'!SCDPT2SN2_96BEGIN_6:'GMIC_2020-Annu_SCDPT2SN2'!SCDPT2SN2_96ENDIN_6)</f>
        <v>0</v>
      </c>
      <c r="I34" s="2"/>
      <c r="J34" s="3">
        <f>SUM('GMIC_2020-Annu_SCDPT2SN2'!SCDPT2SN2_96BEGIN_8:'GMIC_2020-Annu_SCDPT2SN2'!SCDPT2SN2_96ENDIN_8)</f>
        <v>0</v>
      </c>
      <c r="K34" s="3">
        <f>SUM('GMIC_2020-Annu_SCDPT2SN2'!SCDPT2SN2_96BEGIN_9:'GMIC_2020-Annu_SCDPT2SN2'!SCDPT2SN2_96ENDIN_9)</f>
        <v>0</v>
      </c>
      <c r="L34" s="3">
        <f>SUM('GMIC_2020-Annu_SCDPT2SN2'!SCDPT2SN2_96BEGIN_10:'GMIC_2020-Annu_SCDPT2SN2'!SCDPT2SN2_96ENDIN_10)</f>
        <v>0</v>
      </c>
      <c r="M34" s="3">
        <f>SUM('GMIC_2020-Annu_SCDPT2SN2'!SCDPT2SN2_96BEGIN_11:'GMIC_2020-Annu_SCDPT2SN2'!SCDPT2SN2_96ENDIN_11)</f>
        <v>0</v>
      </c>
      <c r="N34" s="3">
        <f>SUM('GMIC_2020-Annu_SCDPT2SN2'!SCDPT2SN2_96BEGIN_12:'GMIC_2020-Annu_SCDPT2SN2'!SCDPT2SN2_96ENDIN_12)</f>
        <v>0</v>
      </c>
      <c r="O34" s="3">
        <f>SUM('GMIC_2020-Annu_SCDPT2SN2'!SCDPT2SN2_96BEGIN_13:'GMIC_2020-Annu_SCDPT2SN2'!SCDPT2SN2_96ENDIN_13)</f>
        <v>0</v>
      </c>
      <c r="P34" s="3">
        <f>SUM('GMIC_2020-Annu_SCDPT2SN2'!SCDPT2SN2_96BEGIN_14:'GMIC_2020-Annu_SCDPT2SN2'!SCDPT2SN2_96ENDIN_14)</f>
        <v>0</v>
      </c>
      <c r="Q34" s="3">
        <f>SUM('GMIC_2020-Annu_SCDPT2SN2'!SCDPT2SN2_96BEGIN_15:'GMIC_2020-Annu_SCDPT2SN2'!SCDPT2SN2_96ENDIN_15)</f>
        <v>0</v>
      </c>
      <c r="R34" s="3">
        <f>SUM('GMIC_2020-Annu_SCDPT2SN2'!SCDPT2SN2_96BEGIN_16:'GMIC_2020-Annu_SCDPT2SN2'!SCDPT2SN2_96ENDIN_16)</f>
        <v>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2:29" x14ac:dyDescent="0.25">
      <c r="B35" s="71" t="s">
        <v>809</v>
      </c>
      <c r="C35" s="72" t="s">
        <v>1292</v>
      </c>
      <c r="D35" s="17"/>
      <c r="E35" s="2"/>
      <c r="F35" s="2"/>
      <c r="G35" s="2"/>
      <c r="H35" s="3">
        <f>'GMIC_2020-Annu_SCDPT2SN2'!SCDPT2SN2_9099999_6+'GMIC_2020-Annu_SCDPT2SN2'!SCDPT2SN2_9199999_6+'GMIC_2020-Annu_SCDPT2SN2'!SCDPT2SN2_9299999_6+'GMIC_2020-Annu_SCDPT2SN2'!SCDPT2SN2_9399999_6+'GMIC_2020-Annu_SCDPT2SN2'!SCDPT2SN2_9499999_6+'GMIC_2020-Annu_SCDPT2SN2'!SCDPT2SN2_9599999_6+'GMIC_2020-Annu_SCDPT2SN2'!SCDPT2SN2_9699999_6</f>
        <v>3000</v>
      </c>
      <c r="I35" s="2"/>
      <c r="J35" s="3">
        <f>'GMIC_2020-Annu_SCDPT2SN2'!SCDPT2SN2_9099999_8+'GMIC_2020-Annu_SCDPT2SN2'!SCDPT2SN2_9199999_8+'GMIC_2020-Annu_SCDPT2SN2'!SCDPT2SN2_9299999_8+'GMIC_2020-Annu_SCDPT2SN2'!SCDPT2SN2_9399999_8+'GMIC_2020-Annu_SCDPT2SN2'!SCDPT2SN2_9499999_8+'GMIC_2020-Annu_SCDPT2SN2'!SCDPT2SN2_9599999_8+'GMIC_2020-Annu_SCDPT2SN2'!SCDPT2SN2_9699999_8</f>
        <v>3000</v>
      </c>
      <c r="K35" s="3">
        <f>'GMIC_2020-Annu_SCDPT2SN2'!SCDPT2SN2_9099999_9+'GMIC_2020-Annu_SCDPT2SN2'!SCDPT2SN2_9199999_9+'GMIC_2020-Annu_SCDPT2SN2'!SCDPT2SN2_9299999_9+'GMIC_2020-Annu_SCDPT2SN2'!SCDPT2SN2_9399999_9+'GMIC_2020-Annu_SCDPT2SN2'!SCDPT2SN2_9499999_9+'GMIC_2020-Annu_SCDPT2SN2'!SCDPT2SN2_9599999_9+'GMIC_2020-Annu_SCDPT2SN2'!SCDPT2SN2_9699999_9</f>
        <v>3000</v>
      </c>
      <c r="L35" s="3">
        <f>'GMIC_2020-Annu_SCDPT2SN2'!SCDPT2SN2_9099999_10+'GMIC_2020-Annu_SCDPT2SN2'!SCDPT2SN2_9199999_10+'GMIC_2020-Annu_SCDPT2SN2'!SCDPT2SN2_9299999_10+'GMIC_2020-Annu_SCDPT2SN2'!SCDPT2SN2_9399999_10+'GMIC_2020-Annu_SCDPT2SN2'!SCDPT2SN2_9499999_10+'GMIC_2020-Annu_SCDPT2SN2'!SCDPT2SN2_9599999_10+'GMIC_2020-Annu_SCDPT2SN2'!SCDPT2SN2_9699999_10</f>
        <v>0</v>
      </c>
      <c r="M35" s="3">
        <f>'GMIC_2020-Annu_SCDPT2SN2'!SCDPT2SN2_9099999_11+'GMIC_2020-Annu_SCDPT2SN2'!SCDPT2SN2_9199999_11+'GMIC_2020-Annu_SCDPT2SN2'!SCDPT2SN2_9299999_11+'GMIC_2020-Annu_SCDPT2SN2'!SCDPT2SN2_9399999_11+'GMIC_2020-Annu_SCDPT2SN2'!SCDPT2SN2_9499999_11+'GMIC_2020-Annu_SCDPT2SN2'!SCDPT2SN2_9599999_11+'GMIC_2020-Annu_SCDPT2SN2'!SCDPT2SN2_9699999_11</f>
        <v>0</v>
      </c>
      <c r="N35" s="3">
        <f>'GMIC_2020-Annu_SCDPT2SN2'!SCDPT2SN2_9099999_12+'GMIC_2020-Annu_SCDPT2SN2'!SCDPT2SN2_9199999_12+'GMIC_2020-Annu_SCDPT2SN2'!SCDPT2SN2_9299999_12+'GMIC_2020-Annu_SCDPT2SN2'!SCDPT2SN2_9399999_12+'GMIC_2020-Annu_SCDPT2SN2'!SCDPT2SN2_9499999_12+'GMIC_2020-Annu_SCDPT2SN2'!SCDPT2SN2_9599999_12+'GMIC_2020-Annu_SCDPT2SN2'!SCDPT2SN2_9699999_12</f>
        <v>0</v>
      </c>
      <c r="O35" s="3">
        <f>'GMIC_2020-Annu_SCDPT2SN2'!SCDPT2SN2_9099999_13+'GMIC_2020-Annu_SCDPT2SN2'!SCDPT2SN2_9199999_13+'GMIC_2020-Annu_SCDPT2SN2'!SCDPT2SN2_9299999_13+'GMIC_2020-Annu_SCDPT2SN2'!SCDPT2SN2_9399999_13+'GMIC_2020-Annu_SCDPT2SN2'!SCDPT2SN2_9499999_13+'GMIC_2020-Annu_SCDPT2SN2'!SCDPT2SN2_9599999_13+'GMIC_2020-Annu_SCDPT2SN2'!SCDPT2SN2_9699999_13</f>
        <v>0</v>
      </c>
      <c r="P35" s="3">
        <f>'GMIC_2020-Annu_SCDPT2SN2'!SCDPT2SN2_9099999_14+'GMIC_2020-Annu_SCDPT2SN2'!SCDPT2SN2_9199999_14+'GMIC_2020-Annu_SCDPT2SN2'!SCDPT2SN2_9299999_14+'GMIC_2020-Annu_SCDPT2SN2'!SCDPT2SN2_9399999_14+'GMIC_2020-Annu_SCDPT2SN2'!SCDPT2SN2_9499999_14+'GMIC_2020-Annu_SCDPT2SN2'!SCDPT2SN2_9599999_14+'GMIC_2020-Annu_SCDPT2SN2'!SCDPT2SN2_9699999_14</f>
        <v>0</v>
      </c>
      <c r="Q35" s="3">
        <f>'GMIC_2020-Annu_SCDPT2SN2'!SCDPT2SN2_9099999_15+'GMIC_2020-Annu_SCDPT2SN2'!SCDPT2SN2_9199999_15+'GMIC_2020-Annu_SCDPT2SN2'!SCDPT2SN2_9299999_15+'GMIC_2020-Annu_SCDPT2SN2'!SCDPT2SN2_9399999_15+'GMIC_2020-Annu_SCDPT2SN2'!SCDPT2SN2_9499999_15+'GMIC_2020-Annu_SCDPT2SN2'!SCDPT2SN2_9599999_15+'GMIC_2020-Annu_SCDPT2SN2'!SCDPT2SN2_9699999_15</f>
        <v>0</v>
      </c>
      <c r="R35" s="3">
        <f>'GMIC_2020-Annu_SCDPT2SN2'!SCDPT2SN2_9099999_16+'GMIC_2020-Annu_SCDPT2SN2'!SCDPT2SN2_9199999_16+'GMIC_2020-Annu_SCDPT2SN2'!SCDPT2SN2_9299999_16+'GMIC_2020-Annu_SCDPT2SN2'!SCDPT2SN2_9399999_16+'GMIC_2020-Annu_SCDPT2SN2'!SCDPT2SN2_9499999_16+'GMIC_2020-Annu_SCDPT2SN2'!SCDPT2SN2_9599999_16+'GMIC_2020-Annu_SCDPT2SN2'!SCDPT2SN2_9699999_16</f>
        <v>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2:29" ht="27.6" x14ac:dyDescent="0.25">
      <c r="B36" s="53" t="s">
        <v>185</v>
      </c>
      <c r="C36" s="55" t="s">
        <v>3754</v>
      </c>
      <c r="D36" s="69"/>
      <c r="E36" s="26"/>
      <c r="F36" s="26"/>
      <c r="G36" s="26"/>
      <c r="H36" s="54">
        <v>3000</v>
      </c>
      <c r="I36" s="26"/>
      <c r="J36" s="54">
        <v>3000</v>
      </c>
      <c r="K36" s="54">
        <v>3000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&amp;CSCDPT2SN2SCDPT2SN2</oddHeader>
    <oddFooter>&amp;LWing Application : &amp;R SaveAs(2/25/2021-10:18 AM)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P416"/>
  <sheetViews>
    <sheetView workbookViewId="0"/>
  </sheetViews>
  <sheetFormatPr defaultRowHeight="13.8" x14ac:dyDescent="0.25"/>
  <cols>
    <col min="1" max="1" width="1.69921875" customWidth="1"/>
    <col min="2" max="2" width="9.69921875" customWidth="1"/>
    <col min="3" max="4" width="25.69921875" customWidth="1"/>
    <col min="5" max="5" width="63.69921875" customWidth="1"/>
    <col min="6" max="6" width="10.69921875" customWidth="1"/>
    <col min="7" max="7" width="25.69921875" customWidth="1"/>
    <col min="8" max="8" width="12.69921875" customWidth="1"/>
    <col min="9" max="11" width="14.69921875" customWidth="1"/>
    <col min="12" max="13" width="20.69921875" customWidth="1"/>
    <col min="14" max="15" width="25.69921875" customWidth="1"/>
    <col min="16" max="16" width="10.69921875" customWidth="1"/>
  </cols>
  <sheetData>
    <row r="1" spans="2:16" x14ac:dyDescent="0.25">
      <c r="C1" s="35" t="s">
        <v>1621</v>
      </c>
      <c r="D1" s="35" t="s">
        <v>1151</v>
      </c>
      <c r="E1" s="35" t="s">
        <v>1622</v>
      </c>
      <c r="F1" s="35" t="s">
        <v>245</v>
      </c>
    </row>
    <row r="2" spans="2:16" x14ac:dyDescent="0.25">
      <c r="B2" s="52"/>
      <c r="C2" s="45" t="str">
        <f>'GMIC_2020-Annu_SCDPT1'!Wings_Company_ID</f>
        <v>GMIC</v>
      </c>
      <c r="D2" s="45" t="str">
        <f>'GMIC_2020-Annu_SCDPT1'!Wings_Statement_ID</f>
        <v>2020-Annual</v>
      </c>
      <c r="E2" s="41" t="s">
        <v>2375</v>
      </c>
      <c r="F2" s="41" t="s">
        <v>4116</v>
      </c>
    </row>
    <row r="3" spans="2:16" ht="40.049999999999997" customHeight="1" x14ac:dyDescent="0.25">
      <c r="B3" s="59" t="s">
        <v>2429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2:16" ht="40.049999999999997" customHeight="1" x14ac:dyDescent="0.4">
      <c r="B4" s="58" t="s">
        <v>3476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2:16" x14ac:dyDescent="0.25">
      <c r="B5" s="57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</row>
    <row r="6" spans="2:16" ht="34.799999999999997" x14ac:dyDescent="0.25">
      <c r="B6" s="56"/>
      <c r="C6" s="14" t="s">
        <v>3837</v>
      </c>
      <c r="D6" s="14" t="s">
        <v>1978</v>
      </c>
      <c r="E6" s="14" t="s">
        <v>3307</v>
      </c>
      <c r="F6" s="14" t="s">
        <v>2433</v>
      </c>
      <c r="G6" s="14" t="s">
        <v>1101</v>
      </c>
      <c r="H6" s="14" t="s">
        <v>1910</v>
      </c>
      <c r="I6" s="14" t="s">
        <v>1342</v>
      </c>
      <c r="J6" s="14" t="s">
        <v>1624</v>
      </c>
      <c r="K6" s="14" t="s">
        <v>1102</v>
      </c>
      <c r="L6" s="14" t="s">
        <v>549</v>
      </c>
      <c r="M6" s="14" t="s">
        <v>3309</v>
      </c>
      <c r="N6" s="14" t="s">
        <v>3065</v>
      </c>
      <c r="O6" s="14" t="s">
        <v>550</v>
      </c>
      <c r="P6" s="14" t="s">
        <v>2434</v>
      </c>
    </row>
    <row r="7" spans="2:16" x14ac:dyDescent="0.25">
      <c r="B7" s="7" t="s">
        <v>2713</v>
      </c>
      <c r="C7" s="1" t="s">
        <v>2713</v>
      </c>
      <c r="D7" s="8" t="s">
        <v>2713</v>
      </c>
      <c r="E7" s="1" t="s">
        <v>2713</v>
      </c>
      <c r="F7" s="15" t="s">
        <v>2713</v>
      </c>
      <c r="G7" s="1" t="s">
        <v>2713</v>
      </c>
      <c r="H7" s="1" t="s">
        <v>2713</v>
      </c>
      <c r="I7" s="1" t="s">
        <v>2713</v>
      </c>
      <c r="J7" s="1" t="s">
        <v>2713</v>
      </c>
      <c r="K7" s="1" t="s">
        <v>2713</v>
      </c>
      <c r="L7" s="1" t="s">
        <v>2713</v>
      </c>
      <c r="M7" s="1" t="s">
        <v>2713</v>
      </c>
      <c r="N7" s="1" t="s">
        <v>2713</v>
      </c>
      <c r="O7" s="1" t="s">
        <v>2713</v>
      </c>
      <c r="P7" s="1" t="s">
        <v>2713</v>
      </c>
    </row>
    <row r="8" spans="2:16" x14ac:dyDescent="0.25">
      <c r="B8" s="18" t="s">
        <v>4393</v>
      </c>
      <c r="C8" s="44" t="s">
        <v>3313</v>
      </c>
      <c r="D8" s="20" t="s">
        <v>2438</v>
      </c>
      <c r="E8" s="22" t="s">
        <v>3</v>
      </c>
      <c r="F8" s="11">
        <v>44188</v>
      </c>
      <c r="G8" s="5" t="s">
        <v>1293</v>
      </c>
      <c r="H8" s="2"/>
      <c r="I8" s="4">
        <v>49953125</v>
      </c>
      <c r="J8" s="4">
        <v>50000000</v>
      </c>
      <c r="K8" s="4">
        <v>12019</v>
      </c>
      <c r="L8" s="2"/>
      <c r="M8" s="5" t="s">
        <v>3</v>
      </c>
      <c r="N8" s="5" t="s">
        <v>3841</v>
      </c>
      <c r="O8" s="5" t="s">
        <v>3533</v>
      </c>
      <c r="P8" s="16" t="s">
        <v>3</v>
      </c>
    </row>
    <row r="9" spans="2:16" x14ac:dyDescent="0.25">
      <c r="B9" s="7" t="s">
        <v>2713</v>
      </c>
      <c r="C9" s="1" t="s">
        <v>2713</v>
      </c>
      <c r="D9" s="8" t="s">
        <v>2713</v>
      </c>
      <c r="E9" s="1" t="s">
        <v>2713</v>
      </c>
      <c r="F9" s="15" t="s">
        <v>2713</v>
      </c>
      <c r="G9" s="1" t="s">
        <v>2713</v>
      </c>
      <c r="H9" s="1" t="s">
        <v>2713</v>
      </c>
      <c r="I9" s="1" t="s">
        <v>2713</v>
      </c>
      <c r="J9" s="1" t="s">
        <v>2713</v>
      </c>
      <c r="K9" s="1" t="s">
        <v>2713</v>
      </c>
      <c r="L9" s="1" t="s">
        <v>2713</v>
      </c>
      <c r="M9" s="1" t="s">
        <v>2713</v>
      </c>
      <c r="N9" s="1" t="s">
        <v>2713</v>
      </c>
      <c r="O9" s="1" t="s">
        <v>2713</v>
      </c>
      <c r="P9" s="1" t="s">
        <v>2713</v>
      </c>
    </row>
    <row r="10" spans="2:16" ht="27.6" x14ac:dyDescent="0.25">
      <c r="B10" s="21" t="s">
        <v>4</v>
      </c>
      <c r="C10" s="19" t="s">
        <v>2993</v>
      </c>
      <c r="D10" s="17"/>
      <c r="E10" s="2"/>
      <c r="F10" s="2"/>
      <c r="G10" s="2"/>
      <c r="H10" s="2"/>
      <c r="I10" s="3">
        <f>SUM('GMIC_2020-Annu_SCDPT3'!SCDPT3_05BEGIN_7:'GMIC_2020-Annu_SCDPT3'!SCDPT3_05ENDIN_7)</f>
        <v>49953125</v>
      </c>
      <c r="J10" s="3">
        <f>SUM('GMIC_2020-Annu_SCDPT3'!SCDPT3_05BEGIN_8:'GMIC_2020-Annu_SCDPT3'!SCDPT3_05ENDIN_8)</f>
        <v>50000000</v>
      </c>
      <c r="K10" s="3">
        <f>SUM('GMIC_2020-Annu_SCDPT3'!SCDPT3_05BEGIN_9:'GMIC_2020-Annu_SCDPT3'!SCDPT3_05ENDIN_9)</f>
        <v>12019</v>
      </c>
      <c r="L10" s="2"/>
      <c r="M10" s="2"/>
      <c r="N10" s="2"/>
      <c r="O10" s="2"/>
      <c r="P10" s="2"/>
    </row>
    <row r="11" spans="2:16" x14ac:dyDescent="0.25">
      <c r="B11" s="7" t="s">
        <v>2713</v>
      </c>
      <c r="C11" s="1" t="s">
        <v>2713</v>
      </c>
      <c r="D11" s="8" t="s">
        <v>2713</v>
      </c>
      <c r="E11" s="1" t="s">
        <v>2713</v>
      </c>
      <c r="F11" s="1" t="s">
        <v>2713</v>
      </c>
      <c r="G11" s="1" t="s">
        <v>2713</v>
      </c>
      <c r="H11" s="1" t="s">
        <v>2713</v>
      </c>
      <c r="I11" s="1" t="s">
        <v>2713</v>
      </c>
      <c r="J11" s="1" t="s">
        <v>2713</v>
      </c>
      <c r="K11" s="1" t="s">
        <v>2713</v>
      </c>
      <c r="L11" s="1" t="s">
        <v>2713</v>
      </c>
      <c r="M11" s="1" t="s">
        <v>2713</v>
      </c>
      <c r="N11" s="1" t="s">
        <v>2713</v>
      </c>
      <c r="O11" s="1" t="s">
        <v>2713</v>
      </c>
      <c r="P11" s="1" t="s">
        <v>2713</v>
      </c>
    </row>
    <row r="12" spans="2:16" x14ac:dyDescent="0.25">
      <c r="B12" s="18" t="s">
        <v>1103</v>
      </c>
      <c r="C12" s="25" t="s">
        <v>3846</v>
      </c>
      <c r="D12" s="20" t="s">
        <v>3</v>
      </c>
      <c r="E12" s="22" t="s">
        <v>3</v>
      </c>
      <c r="F12" s="6"/>
      <c r="G12" s="5" t="s">
        <v>3</v>
      </c>
      <c r="H12" s="2"/>
      <c r="I12" s="4"/>
      <c r="J12" s="4"/>
      <c r="K12" s="4"/>
      <c r="L12" s="2"/>
      <c r="M12" s="5" t="s">
        <v>3</v>
      </c>
      <c r="N12" s="5" t="s">
        <v>3</v>
      </c>
      <c r="O12" s="5" t="s">
        <v>3</v>
      </c>
      <c r="P12" s="16" t="s">
        <v>3</v>
      </c>
    </row>
    <row r="13" spans="2:16" x14ac:dyDescent="0.25">
      <c r="B13" s="7" t="s">
        <v>2713</v>
      </c>
      <c r="C13" s="1" t="s">
        <v>2713</v>
      </c>
      <c r="D13" s="8" t="s">
        <v>2713</v>
      </c>
      <c r="E13" s="1" t="s">
        <v>2713</v>
      </c>
      <c r="F13" s="15" t="s">
        <v>2713</v>
      </c>
      <c r="G13" s="1" t="s">
        <v>2713</v>
      </c>
      <c r="H13" s="1" t="s">
        <v>2713</v>
      </c>
      <c r="I13" s="1" t="s">
        <v>2713</v>
      </c>
      <c r="J13" s="1" t="s">
        <v>2713</v>
      </c>
      <c r="K13" s="1" t="s">
        <v>2713</v>
      </c>
      <c r="L13" s="1" t="s">
        <v>2713</v>
      </c>
      <c r="M13" s="1" t="s">
        <v>2713</v>
      </c>
      <c r="N13" s="1" t="s">
        <v>2713</v>
      </c>
      <c r="O13" s="1" t="s">
        <v>2713</v>
      </c>
      <c r="P13" s="1" t="s">
        <v>2713</v>
      </c>
    </row>
    <row r="14" spans="2:16" ht="27.6" x14ac:dyDescent="0.25">
      <c r="B14" s="21" t="s">
        <v>2220</v>
      </c>
      <c r="C14" s="19" t="s">
        <v>2176</v>
      </c>
      <c r="D14" s="17"/>
      <c r="E14" s="2"/>
      <c r="F14" s="27"/>
      <c r="G14" s="2"/>
      <c r="H14" s="2"/>
      <c r="I14" s="3">
        <f>SUM('GMIC_2020-Annu_SCDPT3'!SCDPT3_10BEGIN_7:'GMIC_2020-Annu_SCDPT3'!SCDPT3_10ENDIN_7)</f>
        <v>0</v>
      </c>
      <c r="J14" s="3">
        <f>SUM('GMIC_2020-Annu_SCDPT3'!SCDPT3_10BEGIN_8:'GMIC_2020-Annu_SCDPT3'!SCDPT3_10ENDIN_8)</f>
        <v>0</v>
      </c>
      <c r="K14" s="3">
        <f>SUM('GMIC_2020-Annu_SCDPT3'!SCDPT3_10BEGIN_9:'GMIC_2020-Annu_SCDPT3'!SCDPT3_10ENDIN_9)</f>
        <v>0</v>
      </c>
      <c r="L14" s="2"/>
      <c r="M14" s="2"/>
      <c r="N14" s="2"/>
      <c r="O14" s="2"/>
      <c r="P14" s="2"/>
    </row>
    <row r="15" spans="2:16" x14ac:dyDescent="0.25">
      <c r="B15" s="7" t="s">
        <v>2713</v>
      </c>
      <c r="C15" s="1" t="s">
        <v>2713</v>
      </c>
      <c r="D15" s="8" t="s">
        <v>2713</v>
      </c>
      <c r="E15" s="1" t="s">
        <v>2713</v>
      </c>
      <c r="F15" s="15" t="s">
        <v>2713</v>
      </c>
      <c r="G15" s="1" t="s">
        <v>2713</v>
      </c>
      <c r="H15" s="1" t="s">
        <v>2713</v>
      </c>
      <c r="I15" s="1" t="s">
        <v>2713</v>
      </c>
      <c r="J15" s="1" t="s">
        <v>2713</v>
      </c>
      <c r="K15" s="1" t="s">
        <v>2713</v>
      </c>
      <c r="L15" s="1" t="s">
        <v>2713</v>
      </c>
      <c r="M15" s="1" t="s">
        <v>2713</v>
      </c>
      <c r="N15" s="1" t="s">
        <v>2713</v>
      </c>
      <c r="O15" s="1" t="s">
        <v>2713</v>
      </c>
      <c r="P15" s="1" t="s">
        <v>2713</v>
      </c>
    </row>
    <row r="16" spans="2:16" x14ac:dyDescent="0.25">
      <c r="B16" s="18" t="s">
        <v>1294</v>
      </c>
      <c r="C16" s="44" t="s">
        <v>1991</v>
      </c>
      <c r="D16" s="20" t="s">
        <v>901</v>
      </c>
      <c r="E16" s="22" t="s">
        <v>3</v>
      </c>
      <c r="F16" s="11">
        <v>44154</v>
      </c>
      <c r="G16" s="5" t="s">
        <v>999</v>
      </c>
      <c r="H16" s="2"/>
      <c r="I16" s="4">
        <v>2000000</v>
      </c>
      <c r="J16" s="4">
        <v>2000000</v>
      </c>
      <c r="K16" s="4">
        <v>0</v>
      </c>
      <c r="L16" s="42" t="s">
        <v>1633</v>
      </c>
      <c r="M16" s="5" t="s">
        <v>4205</v>
      </c>
      <c r="N16" s="5" t="s">
        <v>2440</v>
      </c>
      <c r="O16" s="5" t="s">
        <v>2440</v>
      </c>
      <c r="P16" s="16" t="s">
        <v>3</v>
      </c>
    </row>
    <row r="17" spans="2:16" x14ac:dyDescent="0.25">
      <c r="B17" s="18" t="s">
        <v>2376</v>
      </c>
      <c r="C17" s="44" t="s">
        <v>11</v>
      </c>
      <c r="D17" s="20" t="s">
        <v>3317</v>
      </c>
      <c r="E17" s="51" t="s">
        <v>3</v>
      </c>
      <c r="F17" s="11">
        <v>44036</v>
      </c>
      <c r="G17" s="5" t="s">
        <v>4394</v>
      </c>
      <c r="H17" s="2"/>
      <c r="I17" s="4">
        <v>1595000</v>
      </c>
      <c r="J17" s="4">
        <v>1595000</v>
      </c>
      <c r="K17" s="4">
        <v>0</v>
      </c>
      <c r="L17" s="64" t="s">
        <v>12</v>
      </c>
      <c r="M17" s="5" t="s">
        <v>3</v>
      </c>
      <c r="N17" s="5" t="s">
        <v>553</v>
      </c>
      <c r="O17" s="5" t="s">
        <v>553</v>
      </c>
      <c r="P17" s="16" t="s">
        <v>3</v>
      </c>
    </row>
    <row r="18" spans="2:16" x14ac:dyDescent="0.25">
      <c r="B18" s="18" t="s">
        <v>3477</v>
      </c>
      <c r="C18" s="44" t="s">
        <v>3318</v>
      </c>
      <c r="D18" s="20" t="s">
        <v>3317</v>
      </c>
      <c r="E18" s="51" t="s">
        <v>3</v>
      </c>
      <c r="F18" s="11">
        <v>44036</v>
      </c>
      <c r="G18" s="5" t="s">
        <v>4394</v>
      </c>
      <c r="H18" s="2"/>
      <c r="I18" s="4">
        <v>1500000</v>
      </c>
      <c r="J18" s="4">
        <v>1500000</v>
      </c>
      <c r="K18" s="4">
        <v>0</v>
      </c>
      <c r="L18" s="64" t="s">
        <v>12</v>
      </c>
      <c r="M18" s="5" t="s">
        <v>3</v>
      </c>
      <c r="N18" s="5" t="s">
        <v>553</v>
      </c>
      <c r="O18" s="5" t="s">
        <v>553</v>
      </c>
      <c r="P18" s="16" t="s">
        <v>3</v>
      </c>
    </row>
    <row r="19" spans="2:16" x14ac:dyDescent="0.25">
      <c r="B19" s="18" t="s">
        <v>186</v>
      </c>
      <c r="C19" s="44" t="s">
        <v>1350</v>
      </c>
      <c r="D19" s="20" t="s">
        <v>3317</v>
      </c>
      <c r="E19" s="51" t="s">
        <v>3</v>
      </c>
      <c r="F19" s="11">
        <v>44036</v>
      </c>
      <c r="G19" s="5" t="s">
        <v>4394</v>
      </c>
      <c r="H19" s="2"/>
      <c r="I19" s="4">
        <v>1500000</v>
      </c>
      <c r="J19" s="4">
        <v>1500000</v>
      </c>
      <c r="K19" s="4">
        <v>0</v>
      </c>
      <c r="L19" s="64" t="s">
        <v>12</v>
      </c>
      <c r="M19" s="5" t="s">
        <v>3</v>
      </c>
      <c r="N19" s="5" t="s">
        <v>553</v>
      </c>
      <c r="O19" s="5" t="s">
        <v>553</v>
      </c>
      <c r="P19" s="16" t="s">
        <v>3</v>
      </c>
    </row>
    <row r="20" spans="2:16" x14ac:dyDescent="0.25">
      <c r="B20" s="7" t="s">
        <v>2713</v>
      </c>
      <c r="C20" s="1" t="s">
        <v>2713</v>
      </c>
      <c r="D20" s="8" t="s">
        <v>2713</v>
      </c>
      <c r="E20" s="1" t="s">
        <v>2713</v>
      </c>
      <c r="F20" s="15" t="s">
        <v>2713</v>
      </c>
      <c r="G20" s="1" t="s">
        <v>2713</v>
      </c>
      <c r="H20" s="1" t="s">
        <v>2713</v>
      </c>
      <c r="I20" s="1" t="s">
        <v>2713</v>
      </c>
      <c r="J20" s="1" t="s">
        <v>2713</v>
      </c>
      <c r="K20" s="1" t="s">
        <v>2713</v>
      </c>
      <c r="L20" s="1" t="s">
        <v>2713</v>
      </c>
      <c r="M20" s="1" t="s">
        <v>2713</v>
      </c>
      <c r="N20" s="1" t="s">
        <v>2713</v>
      </c>
      <c r="O20" s="1" t="s">
        <v>2713</v>
      </c>
      <c r="P20" s="1" t="s">
        <v>2713</v>
      </c>
    </row>
    <row r="21" spans="2:16" ht="41.4" x14ac:dyDescent="0.25">
      <c r="B21" s="21" t="s">
        <v>1354</v>
      </c>
      <c r="C21" s="19" t="s">
        <v>2177</v>
      </c>
      <c r="D21" s="17"/>
      <c r="E21" s="2"/>
      <c r="F21" s="27"/>
      <c r="G21" s="2"/>
      <c r="H21" s="2"/>
      <c r="I21" s="3">
        <f>SUM('GMIC_2020-Annu_SCDPT3'!SCDPT3_17BEGIN_7:'GMIC_2020-Annu_SCDPT3'!SCDPT3_17ENDIN_7)</f>
        <v>6595000</v>
      </c>
      <c r="J21" s="3">
        <f>SUM('GMIC_2020-Annu_SCDPT3'!SCDPT3_17BEGIN_8:'GMIC_2020-Annu_SCDPT3'!SCDPT3_17ENDIN_8)</f>
        <v>6595000</v>
      </c>
      <c r="K21" s="3">
        <f>SUM('GMIC_2020-Annu_SCDPT3'!SCDPT3_17BEGIN_9:'GMIC_2020-Annu_SCDPT3'!SCDPT3_17ENDIN_9)</f>
        <v>0</v>
      </c>
      <c r="L21" s="2"/>
      <c r="M21" s="2"/>
      <c r="N21" s="2"/>
      <c r="O21" s="2"/>
      <c r="P21" s="2"/>
    </row>
    <row r="22" spans="2:16" x14ac:dyDescent="0.25">
      <c r="B22" s="7" t="s">
        <v>2713</v>
      </c>
      <c r="C22" s="1" t="s">
        <v>2713</v>
      </c>
      <c r="D22" s="8" t="s">
        <v>2713</v>
      </c>
      <c r="E22" s="1" t="s">
        <v>2713</v>
      </c>
      <c r="F22" s="15" t="s">
        <v>2713</v>
      </c>
      <c r="G22" s="1" t="s">
        <v>2713</v>
      </c>
      <c r="H22" s="1" t="s">
        <v>2713</v>
      </c>
      <c r="I22" s="1" t="s">
        <v>2713</v>
      </c>
      <c r="J22" s="1" t="s">
        <v>2713</v>
      </c>
      <c r="K22" s="1" t="s">
        <v>2713</v>
      </c>
      <c r="L22" s="1" t="s">
        <v>2713</v>
      </c>
      <c r="M22" s="1" t="s">
        <v>2713</v>
      </c>
      <c r="N22" s="1" t="s">
        <v>2713</v>
      </c>
      <c r="O22" s="1" t="s">
        <v>2713</v>
      </c>
      <c r="P22" s="1" t="s">
        <v>2713</v>
      </c>
    </row>
    <row r="23" spans="2:16" x14ac:dyDescent="0.25">
      <c r="B23" s="18" t="s">
        <v>476</v>
      </c>
      <c r="C23" s="25" t="s">
        <v>3846</v>
      </c>
      <c r="D23" s="20" t="s">
        <v>3</v>
      </c>
      <c r="E23" s="22" t="s">
        <v>3</v>
      </c>
      <c r="F23" s="9"/>
      <c r="G23" s="5" t="s">
        <v>3</v>
      </c>
      <c r="H23" s="2"/>
      <c r="I23" s="4"/>
      <c r="J23" s="4"/>
      <c r="K23" s="4"/>
      <c r="L23" s="42" t="s">
        <v>3</v>
      </c>
      <c r="M23" s="5" t="s">
        <v>3</v>
      </c>
      <c r="N23" s="5" t="s">
        <v>3</v>
      </c>
      <c r="O23" s="5" t="s">
        <v>3</v>
      </c>
      <c r="P23" s="16" t="s">
        <v>3</v>
      </c>
    </row>
    <row r="24" spans="2:16" x14ac:dyDescent="0.25">
      <c r="B24" s="7" t="s">
        <v>2713</v>
      </c>
      <c r="C24" s="1" t="s">
        <v>2713</v>
      </c>
      <c r="D24" s="8" t="s">
        <v>2713</v>
      </c>
      <c r="E24" s="1" t="s">
        <v>2713</v>
      </c>
      <c r="F24" s="15" t="s">
        <v>2713</v>
      </c>
      <c r="G24" s="1" t="s">
        <v>2713</v>
      </c>
      <c r="H24" s="1" t="s">
        <v>2713</v>
      </c>
      <c r="I24" s="1" t="s">
        <v>2713</v>
      </c>
      <c r="J24" s="1" t="s">
        <v>2713</v>
      </c>
      <c r="K24" s="1" t="s">
        <v>2713</v>
      </c>
      <c r="L24" s="1" t="s">
        <v>2713</v>
      </c>
      <c r="M24" s="1" t="s">
        <v>2713</v>
      </c>
      <c r="N24" s="1" t="s">
        <v>2713</v>
      </c>
      <c r="O24" s="1" t="s">
        <v>2713</v>
      </c>
      <c r="P24" s="1" t="s">
        <v>2713</v>
      </c>
    </row>
    <row r="25" spans="2:16" ht="55.2" x14ac:dyDescent="0.25">
      <c r="B25" s="21" t="s">
        <v>1994</v>
      </c>
      <c r="C25" s="19" t="s">
        <v>3261</v>
      </c>
      <c r="D25" s="17"/>
      <c r="E25" s="2"/>
      <c r="F25" s="27"/>
      <c r="G25" s="2"/>
      <c r="H25" s="2"/>
      <c r="I25" s="3">
        <f>SUM('GMIC_2020-Annu_SCDPT3'!SCDPT3_24BEGIN_7:'GMIC_2020-Annu_SCDPT3'!SCDPT3_24ENDIN_7)</f>
        <v>0</v>
      </c>
      <c r="J25" s="3">
        <f>SUM('GMIC_2020-Annu_SCDPT3'!SCDPT3_24BEGIN_8:'GMIC_2020-Annu_SCDPT3'!SCDPT3_24ENDIN_8)</f>
        <v>0</v>
      </c>
      <c r="K25" s="3">
        <f>SUM('GMIC_2020-Annu_SCDPT3'!SCDPT3_24BEGIN_9:'GMIC_2020-Annu_SCDPT3'!SCDPT3_24ENDIN_9)</f>
        <v>0</v>
      </c>
      <c r="L25" s="2"/>
      <c r="M25" s="2"/>
      <c r="N25" s="2"/>
      <c r="O25" s="2"/>
      <c r="P25" s="2"/>
    </row>
    <row r="26" spans="2:16" x14ac:dyDescent="0.25">
      <c r="B26" s="7" t="s">
        <v>2713</v>
      </c>
      <c r="C26" s="1" t="s">
        <v>2713</v>
      </c>
      <c r="D26" s="8" t="s">
        <v>2713</v>
      </c>
      <c r="E26" s="1" t="s">
        <v>2713</v>
      </c>
      <c r="F26" s="15" t="s">
        <v>2713</v>
      </c>
      <c r="G26" s="1" t="s">
        <v>2713</v>
      </c>
      <c r="H26" s="1" t="s">
        <v>2713</v>
      </c>
      <c r="I26" s="1" t="s">
        <v>2713</v>
      </c>
      <c r="J26" s="1" t="s">
        <v>2713</v>
      </c>
      <c r="K26" s="1" t="s">
        <v>2713</v>
      </c>
      <c r="L26" s="1" t="s">
        <v>2713</v>
      </c>
      <c r="M26" s="1" t="s">
        <v>2713</v>
      </c>
      <c r="N26" s="1" t="s">
        <v>2713</v>
      </c>
      <c r="O26" s="1" t="s">
        <v>2713</v>
      </c>
      <c r="P26" s="1" t="s">
        <v>2713</v>
      </c>
    </row>
    <row r="27" spans="2:16" x14ac:dyDescent="0.25">
      <c r="B27" s="18" t="s">
        <v>2377</v>
      </c>
      <c r="C27" s="44" t="s">
        <v>1639</v>
      </c>
      <c r="D27" s="20" t="s">
        <v>2227</v>
      </c>
      <c r="E27" s="22" t="s">
        <v>3</v>
      </c>
      <c r="F27" s="11">
        <v>43840</v>
      </c>
      <c r="G27" s="5" t="s">
        <v>2994</v>
      </c>
      <c r="H27" s="2"/>
      <c r="I27" s="4">
        <v>5000000</v>
      </c>
      <c r="J27" s="4">
        <v>5000000</v>
      </c>
      <c r="K27" s="4">
        <v>0</v>
      </c>
      <c r="L27" s="42" t="s">
        <v>3081</v>
      </c>
      <c r="M27" s="5" t="s">
        <v>3</v>
      </c>
      <c r="N27" s="5" t="s">
        <v>2227</v>
      </c>
      <c r="O27" s="5" t="s">
        <v>3</v>
      </c>
      <c r="P27" s="16" t="s">
        <v>3</v>
      </c>
    </row>
    <row r="28" spans="2:16" x14ac:dyDescent="0.25">
      <c r="B28" s="18" t="s">
        <v>3478</v>
      </c>
      <c r="C28" s="44" t="s">
        <v>4211</v>
      </c>
      <c r="D28" s="20" t="s">
        <v>2227</v>
      </c>
      <c r="E28" s="51" t="s">
        <v>3</v>
      </c>
      <c r="F28" s="11">
        <v>43840</v>
      </c>
      <c r="G28" s="5" t="s">
        <v>2994</v>
      </c>
      <c r="H28" s="2"/>
      <c r="I28" s="4">
        <v>3000000</v>
      </c>
      <c r="J28" s="4">
        <v>3000000</v>
      </c>
      <c r="K28" s="4">
        <v>0</v>
      </c>
      <c r="L28" s="64" t="s">
        <v>3081</v>
      </c>
      <c r="M28" s="5" t="s">
        <v>3</v>
      </c>
      <c r="N28" s="5" t="s">
        <v>2227</v>
      </c>
      <c r="O28" s="5" t="s">
        <v>3</v>
      </c>
      <c r="P28" s="16" t="s">
        <v>3</v>
      </c>
    </row>
    <row r="29" spans="2:16" x14ac:dyDescent="0.25">
      <c r="B29" s="18" t="s">
        <v>187</v>
      </c>
      <c r="C29" s="44" t="s">
        <v>3851</v>
      </c>
      <c r="D29" s="20" t="s">
        <v>2227</v>
      </c>
      <c r="E29" s="51" t="s">
        <v>3</v>
      </c>
      <c r="F29" s="11">
        <v>43840</v>
      </c>
      <c r="G29" s="5" t="s">
        <v>2994</v>
      </c>
      <c r="H29" s="2"/>
      <c r="I29" s="4">
        <v>5000000</v>
      </c>
      <c r="J29" s="4">
        <v>5000000</v>
      </c>
      <c r="K29" s="4">
        <v>0</v>
      </c>
      <c r="L29" s="64" t="s">
        <v>3081</v>
      </c>
      <c r="M29" s="5" t="s">
        <v>3</v>
      </c>
      <c r="N29" s="5" t="s">
        <v>2227</v>
      </c>
      <c r="O29" s="5" t="s">
        <v>3</v>
      </c>
      <c r="P29" s="16" t="s">
        <v>3</v>
      </c>
    </row>
    <row r="30" spans="2:16" x14ac:dyDescent="0.25">
      <c r="B30" s="18" t="s">
        <v>1295</v>
      </c>
      <c r="C30" s="44" t="s">
        <v>1163</v>
      </c>
      <c r="D30" s="20" t="s">
        <v>259</v>
      </c>
      <c r="E30" s="51" t="s">
        <v>3</v>
      </c>
      <c r="F30" s="11">
        <v>44035</v>
      </c>
      <c r="G30" s="5" t="s">
        <v>2994</v>
      </c>
      <c r="H30" s="2"/>
      <c r="I30" s="4">
        <v>1250000</v>
      </c>
      <c r="J30" s="4">
        <v>1250000</v>
      </c>
      <c r="K30" s="4">
        <v>0</v>
      </c>
      <c r="L30" s="64" t="s">
        <v>258</v>
      </c>
      <c r="M30" s="5" t="s">
        <v>3</v>
      </c>
      <c r="N30" s="5" t="s">
        <v>2723</v>
      </c>
      <c r="O30" s="5" t="s">
        <v>3852</v>
      </c>
      <c r="P30" s="16" t="s">
        <v>3</v>
      </c>
    </row>
    <row r="31" spans="2:16" x14ac:dyDescent="0.25">
      <c r="B31" s="18" t="s">
        <v>2378</v>
      </c>
      <c r="C31" s="44" t="s">
        <v>4213</v>
      </c>
      <c r="D31" s="20" t="s">
        <v>259</v>
      </c>
      <c r="E31" s="51" t="s">
        <v>3</v>
      </c>
      <c r="F31" s="11">
        <v>44035</v>
      </c>
      <c r="G31" s="5" t="s">
        <v>2994</v>
      </c>
      <c r="H31" s="2"/>
      <c r="I31" s="4">
        <v>1250000</v>
      </c>
      <c r="J31" s="4">
        <v>1250000</v>
      </c>
      <c r="K31" s="4">
        <v>0</v>
      </c>
      <c r="L31" s="64" t="s">
        <v>258</v>
      </c>
      <c r="M31" s="5" t="s">
        <v>3</v>
      </c>
      <c r="N31" s="5" t="s">
        <v>2723</v>
      </c>
      <c r="O31" s="5" t="s">
        <v>3852</v>
      </c>
      <c r="P31" s="16" t="s">
        <v>3</v>
      </c>
    </row>
    <row r="32" spans="2:16" x14ac:dyDescent="0.25">
      <c r="B32" s="18" t="s">
        <v>3479</v>
      </c>
      <c r="C32" s="44" t="s">
        <v>3548</v>
      </c>
      <c r="D32" s="20" t="s">
        <v>259</v>
      </c>
      <c r="E32" s="51" t="s">
        <v>3</v>
      </c>
      <c r="F32" s="11">
        <v>44035</v>
      </c>
      <c r="G32" s="5" t="s">
        <v>2994</v>
      </c>
      <c r="H32" s="2"/>
      <c r="I32" s="4">
        <v>750000</v>
      </c>
      <c r="J32" s="4">
        <v>750000</v>
      </c>
      <c r="K32" s="4">
        <v>0</v>
      </c>
      <c r="L32" s="64" t="s">
        <v>258</v>
      </c>
      <c r="M32" s="5" t="s">
        <v>3</v>
      </c>
      <c r="N32" s="5" t="s">
        <v>2723</v>
      </c>
      <c r="O32" s="5" t="s">
        <v>3852</v>
      </c>
      <c r="P32" s="16" t="s">
        <v>3</v>
      </c>
    </row>
    <row r="33" spans="2:16" x14ac:dyDescent="0.25">
      <c r="B33" s="18" t="s">
        <v>188</v>
      </c>
      <c r="C33" s="44" t="s">
        <v>1640</v>
      </c>
      <c r="D33" s="20" t="s">
        <v>259</v>
      </c>
      <c r="E33" s="51" t="s">
        <v>3</v>
      </c>
      <c r="F33" s="11">
        <v>44035</v>
      </c>
      <c r="G33" s="5" t="s">
        <v>2994</v>
      </c>
      <c r="H33" s="2"/>
      <c r="I33" s="4">
        <v>1145000</v>
      </c>
      <c r="J33" s="4">
        <v>1145000</v>
      </c>
      <c r="K33" s="4">
        <v>0</v>
      </c>
      <c r="L33" s="64" t="s">
        <v>258</v>
      </c>
      <c r="M33" s="5" t="s">
        <v>3</v>
      </c>
      <c r="N33" s="5" t="s">
        <v>2723</v>
      </c>
      <c r="O33" s="5" t="s">
        <v>3852</v>
      </c>
      <c r="P33" s="16" t="s">
        <v>3</v>
      </c>
    </row>
    <row r="34" spans="2:16" x14ac:dyDescent="0.25">
      <c r="B34" s="18" t="s">
        <v>1296</v>
      </c>
      <c r="C34" s="44" t="s">
        <v>1641</v>
      </c>
      <c r="D34" s="20" t="s">
        <v>259</v>
      </c>
      <c r="E34" s="51" t="s">
        <v>3</v>
      </c>
      <c r="F34" s="11">
        <v>44035</v>
      </c>
      <c r="G34" s="5" t="s">
        <v>2994</v>
      </c>
      <c r="H34" s="2"/>
      <c r="I34" s="4">
        <v>1000000</v>
      </c>
      <c r="J34" s="4">
        <v>1000000</v>
      </c>
      <c r="K34" s="4">
        <v>0</v>
      </c>
      <c r="L34" s="64" t="s">
        <v>258</v>
      </c>
      <c r="M34" s="5" t="s">
        <v>3</v>
      </c>
      <c r="N34" s="5" t="s">
        <v>2723</v>
      </c>
      <c r="O34" s="5" t="s">
        <v>3852</v>
      </c>
      <c r="P34" s="16" t="s">
        <v>3</v>
      </c>
    </row>
    <row r="35" spans="2:16" x14ac:dyDescent="0.25">
      <c r="B35" s="18" t="s">
        <v>2379</v>
      </c>
      <c r="C35" s="44" t="s">
        <v>1359</v>
      </c>
      <c r="D35" s="20" t="s">
        <v>259</v>
      </c>
      <c r="E35" s="51" t="s">
        <v>3</v>
      </c>
      <c r="F35" s="11">
        <v>44035</v>
      </c>
      <c r="G35" s="5" t="s">
        <v>2994</v>
      </c>
      <c r="H35" s="2"/>
      <c r="I35" s="4">
        <v>1000000</v>
      </c>
      <c r="J35" s="4">
        <v>1000000</v>
      </c>
      <c r="K35" s="4">
        <v>0</v>
      </c>
      <c r="L35" s="64" t="s">
        <v>258</v>
      </c>
      <c r="M35" s="5" t="s">
        <v>3</v>
      </c>
      <c r="N35" s="5" t="s">
        <v>2723</v>
      </c>
      <c r="O35" s="5" t="s">
        <v>3852</v>
      </c>
      <c r="P35" s="16" t="s">
        <v>3</v>
      </c>
    </row>
    <row r="36" spans="2:16" x14ac:dyDescent="0.25">
      <c r="B36" s="18" t="s">
        <v>189</v>
      </c>
      <c r="C36" s="44" t="s">
        <v>911</v>
      </c>
      <c r="D36" s="20" t="s">
        <v>2724</v>
      </c>
      <c r="E36" s="51" t="s">
        <v>3</v>
      </c>
      <c r="F36" s="11">
        <v>43840</v>
      </c>
      <c r="G36" s="5" t="s">
        <v>4395</v>
      </c>
      <c r="H36" s="2"/>
      <c r="I36" s="4">
        <v>2000000</v>
      </c>
      <c r="J36" s="4">
        <v>2000000</v>
      </c>
      <c r="K36" s="4">
        <v>0</v>
      </c>
      <c r="L36" s="64" t="s">
        <v>3076</v>
      </c>
      <c r="M36" s="5" t="s">
        <v>3</v>
      </c>
      <c r="N36" s="5" t="s">
        <v>2445</v>
      </c>
      <c r="O36" s="5" t="s">
        <v>3549</v>
      </c>
      <c r="P36" s="16" t="s">
        <v>3</v>
      </c>
    </row>
    <row r="37" spans="2:16" x14ac:dyDescent="0.25">
      <c r="B37" s="18" t="s">
        <v>1297</v>
      </c>
      <c r="C37" s="44" t="s">
        <v>3550</v>
      </c>
      <c r="D37" s="20" t="s">
        <v>2724</v>
      </c>
      <c r="E37" s="51" t="s">
        <v>3</v>
      </c>
      <c r="F37" s="11">
        <v>43840</v>
      </c>
      <c r="G37" s="5" t="s">
        <v>4395</v>
      </c>
      <c r="H37" s="2"/>
      <c r="I37" s="4">
        <v>2070000</v>
      </c>
      <c r="J37" s="4">
        <v>2070000</v>
      </c>
      <c r="K37" s="4">
        <v>0</v>
      </c>
      <c r="L37" s="64" t="s">
        <v>3076</v>
      </c>
      <c r="M37" s="5" t="s">
        <v>3</v>
      </c>
      <c r="N37" s="5" t="s">
        <v>2445</v>
      </c>
      <c r="O37" s="5" t="s">
        <v>3549</v>
      </c>
      <c r="P37" s="16" t="s">
        <v>3</v>
      </c>
    </row>
    <row r="38" spans="2:16" x14ac:dyDescent="0.25">
      <c r="B38" s="18" t="s">
        <v>2380</v>
      </c>
      <c r="C38" s="44" t="s">
        <v>3551</v>
      </c>
      <c r="D38" s="20" t="s">
        <v>2724</v>
      </c>
      <c r="E38" s="51" t="s">
        <v>3</v>
      </c>
      <c r="F38" s="11">
        <v>43840</v>
      </c>
      <c r="G38" s="5" t="s">
        <v>4395</v>
      </c>
      <c r="H38" s="2"/>
      <c r="I38" s="4">
        <v>1555000</v>
      </c>
      <c r="J38" s="4">
        <v>1555000</v>
      </c>
      <c r="K38" s="4">
        <v>0</v>
      </c>
      <c r="L38" s="64" t="s">
        <v>3076</v>
      </c>
      <c r="M38" s="5" t="s">
        <v>3</v>
      </c>
      <c r="N38" s="5" t="s">
        <v>2445</v>
      </c>
      <c r="O38" s="5" t="s">
        <v>3549</v>
      </c>
      <c r="P38" s="16" t="s">
        <v>3</v>
      </c>
    </row>
    <row r="39" spans="2:16" x14ac:dyDescent="0.25">
      <c r="B39" s="18" t="s">
        <v>3480</v>
      </c>
      <c r="C39" s="44" t="s">
        <v>1642</v>
      </c>
      <c r="D39" s="20" t="s">
        <v>913</v>
      </c>
      <c r="E39" s="51" t="s">
        <v>3</v>
      </c>
      <c r="F39" s="11">
        <v>43837</v>
      </c>
      <c r="G39" s="5" t="s">
        <v>2994</v>
      </c>
      <c r="H39" s="2"/>
      <c r="I39" s="4">
        <v>1000000</v>
      </c>
      <c r="J39" s="4">
        <v>1000000</v>
      </c>
      <c r="K39" s="4">
        <v>0</v>
      </c>
      <c r="L39" s="64" t="s">
        <v>3086</v>
      </c>
      <c r="M39" s="5" t="s">
        <v>3</v>
      </c>
      <c r="N39" s="5" t="s">
        <v>913</v>
      </c>
      <c r="O39" s="5" t="s">
        <v>3</v>
      </c>
      <c r="P39" s="16" t="s">
        <v>3</v>
      </c>
    </row>
    <row r="40" spans="2:16" x14ac:dyDescent="0.25">
      <c r="B40" s="18" t="s">
        <v>190</v>
      </c>
      <c r="C40" s="44" t="s">
        <v>1643</v>
      </c>
      <c r="D40" s="20" t="s">
        <v>4216</v>
      </c>
      <c r="E40" s="51" t="s">
        <v>3</v>
      </c>
      <c r="F40" s="11">
        <v>43867</v>
      </c>
      <c r="G40" s="5" t="s">
        <v>999</v>
      </c>
      <c r="H40" s="2"/>
      <c r="I40" s="4">
        <v>5000000</v>
      </c>
      <c r="J40" s="4">
        <v>5000000</v>
      </c>
      <c r="K40" s="4">
        <v>0</v>
      </c>
      <c r="L40" s="64" t="s">
        <v>2725</v>
      </c>
      <c r="M40" s="5" t="s">
        <v>3</v>
      </c>
      <c r="N40" s="5" t="s">
        <v>4216</v>
      </c>
      <c r="O40" s="5" t="s">
        <v>3</v>
      </c>
      <c r="P40" s="16" t="s">
        <v>3</v>
      </c>
    </row>
    <row r="41" spans="2:16" x14ac:dyDescent="0.25">
      <c r="B41" s="18" t="s">
        <v>1298</v>
      </c>
      <c r="C41" s="44" t="s">
        <v>1166</v>
      </c>
      <c r="D41" s="20" t="s">
        <v>1644</v>
      </c>
      <c r="E41" s="51" t="s">
        <v>3</v>
      </c>
      <c r="F41" s="11">
        <v>44064</v>
      </c>
      <c r="G41" s="5" t="s">
        <v>2994</v>
      </c>
      <c r="H41" s="2"/>
      <c r="I41" s="4">
        <v>2500000</v>
      </c>
      <c r="J41" s="4">
        <v>2500000</v>
      </c>
      <c r="K41" s="4">
        <v>0</v>
      </c>
      <c r="L41" s="64" t="s">
        <v>2727</v>
      </c>
      <c r="M41" s="5" t="s">
        <v>3</v>
      </c>
      <c r="N41" s="5" t="s">
        <v>4219</v>
      </c>
      <c r="O41" s="5" t="s">
        <v>1167</v>
      </c>
      <c r="P41" s="16" t="s">
        <v>3</v>
      </c>
    </row>
    <row r="42" spans="2:16" x14ac:dyDescent="0.25">
      <c r="B42" s="18" t="s">
        <v>2381</v>
      </c>
      <c r="C42" s="44" t="s">
        <v>263</v>
      </c>
      <c r="D42" s="20" t="s">
        <v>26</v>
      </c>
      <c r="E42" s="51" t="s">
        <v>3</v>
      </c>
      <c r="F42" s="11">
        <v>44147</v>
      </c>
      <c r="G42" s="5" t="s">
        <v>191</v>
      </c>
      <c r="H42" s="2"/>
      <c r="I42" s="4">
        <v>6520928</v>
      </c>
      <c r="J42" s="4">
        <v>6585000</v>
      </c>
      <c r="K42" s="4">
        <v>5897</v>
      </c>
      <c r="L42" s="64" t="s">
        <v>1356</v>
      </c>
      <c r="M42" s="5" t="s">
        <v>3854</v>
      </c>
      <c r="N42" s="5" t="s">
        <v>264</v>
      </c>
      <c r="O42" s="5" t="s">
        <v>2729</v>
      </c>
      <c r="P42" s="16" t="s">
        <v>3</v>
      </c>
    </row>
    <row r="43" spans="2:16" x14ac:dyDescent="0.25">
      <c r="B43" s="18" t="s">
        <v>3481</v>
      </c>
      <c r="C43" s="44" t="s">
        <v>2447</v>
      </c>
      <c r="D43" s="20" t="s">
        <v>3093</v>
      </c>
      <c r="E43" s="51" t="s">
        <v>3</v>
      </c>
      <c r="F43" s="11">
        <v>44085</v>
      </c>
      <c r="G43" s="5" t="s">
        <v>2994</v>
      </c>
      <c r="H43" s="2"/>
      <c r="I43" s="4">
        <v>1750000</v>
      </c>
      <c r="J43" s="4">
        <v>1750000</v>
      </c>
      <c r="K43" s="4">
        <v>0</v>
      </c>
      <c r="L43" s="64" t="s">
        <v>3539</v>
      </c>
      <c r="M43" s="5" t="s">
        <v>3</v>
      </c>
      <c r="N43" s="5" t="s">
        <v>2448</v>
      </c>
      <c r="O43" s="5" t="s">
        <v>563</v>
      </c>
      <c r="P43" s="16" t="s">
        <v>3</v>
      </c>
    </row>
    <row r="44" spans="2:16" x14ac:dyDescent="0.25">
      <c r="B44" s="18" t="s">
        <v>192</v>
      </c>
      <c r="C44" s="44" t="s">
        <v>2449</v>
      </c>
      <c r="D44" s="20" t="s">
        <v>3093</v>
      </c>
      <c r="E44" s="51" t="s">
        <v>3</v>
      </c>
      <c r="F44" s="10">
        <v>44085</v>
      </c>
      <c r="G44" s="5" t="s">
        <v>2994</v>
      </c>
      <c r="H44" s="2"/>
      <c r="I44" s="4">
        <v>2720000</v>
      </c>
      <c r="J44" s="4">
        <v>2720000</v>
      </c>
      <c r="K44" s="4">
        <v>0</v>
      </c>
      <c r="L44" s="64" t="s">
        <v>3539</v>
      </c>
      <c r="M44" s="5" t="s">
        <v>3</v>
      </c>
      <c r="N44" s="5" t="s">
        <v>2448</v>
      </c>
      <c r="O44" s="5" t="s">
        <v>563</v>
      </c>
      <c r="P44" s="16" t="s">
        <v>3</v>
      </c>
    </row>
    <row r="45" spans="2:16" x14ac:dyDescent="0.25">
      <c r="B45" s="18" t="s">
        <v>1550</v>
      </c>
      <c r="C45" s="44" t="s">
        <v>2450</v>
      </c>
      <c r="D45" s="20" t="s">
        <v>3093</v>
      </c>
      <c r="E45" s="51" t="s">
        <v>3</v>
      </c>
      <c r="F45" s="11">
        <v>44085</v>
      </c>
      <c r="G45" s="5" t="s">
        <v>2994</v>
      </c>
      <c r="H45" s="2"/>
      <c r="I45" s="4">
        <v>1545000</v>
      </c>
      <c r="J45" s="4">
        <v>1545000</v>
      </c>
      <c r="K45" s="4">
        <v>0</v>
      </c>
      <c r="L45" s="64" t="s">
        <v>3539</v>
      </c>
      <c r="M45" s="5" t="s">
        <v>3</v>
      </c>
      <c r="N45" s="5" t="s">
        <v>2448</v>
      </c>
      <c r="O45" s="5" t="s">
        <v>563</v>
      </c>
      <c r="P45" s="16" t="s">
        <v>3</v>
      </c>
    </row>
    <row r="46" spans="2:16" x14ac:dyDescent="0.25">
      <c r="B46" s="18" t="s">
        <v>3482</v>
      </c>
      <c r="C46" s="44" t="s">
        <v>265</v>
      </c>
      <c r="D46" s="20" t="s">
        <v>3093</v>
      </c>
      <c r="E46" s="51" t="s">
        <v>3</v>
      </c>
      <c r="F46" s="11">
        <v>44085</v>
      </c>
      <c r="G46" s="5" t="s">
        <v>2994</v>
      </c>
      <c r="H46" s="2"/>
      <c r="I46" s="4">
        <v>2000000</v>
      </c>
      <c r="J46" s="4">
        <v>2000000</v>
      </c>
      <c r="K46" s="4">
        <v>0</v>
      </c>
      <c r="L46" s="64" t="s">
        <v>3539</v>
      </c>
      <c r="M46" s="5" t="s">
        <v>3</v>
      </c>
      <c r="N46" s="5" t="s">
        <v>2448</v>
      </c>
      <c r="O46" s="5" t="s">
        <v>563</v>
      </c>
      <c r="P46" s="16" t="s">
        <v>3</v>
      </c>
    </row>
    <row r="47" spans="2:16" x14ac:dyDescent="0.25">
      <c r="B47" s="18" t="s">
        <v>193</v>
      </c>
      <c r="C47" s="44" t="s">
        <v>3556</v>
      </c>
      <c r="D47" s="20" t="s">
        <v>3093</v>
      </c>
      <c r="E47" s="51" t="s">
        <v>3</v>
      </c>
      <c r="F47" s="11">
        <v>44085</v>
      </c>
      <c r="G47" s="5" t="s">
        <v>2994</v>
      </c>
      <c r="H47" s="2"/>
      <c r="I47" s="4">
        <v>2000000</v>
      </c>
      <c r="J47" s="4">
        <v>2000000</v>
      </c>
      <c r="K47" s="4">
        <v>0</v>
      </c>
      <c r="L47" s="64" t="s">
        <v>3539</v>
      </c>
      <c r="M47" s="5" t="s">
        <v>3</v>
      </c>
      <c r="N47" s="5" t="s">
        <v>2448</v>
      </c>
      <c r="O47" s="5" t="s">
        <v>563</v>
      </c>
      <c r="P47" s="16" t="s">
        <v>3</v>
      </c>
    </row>
    <row r="48" spans="2:16" x14ac:dyDescent="0.25">
      <c r="B48" s="18" t="s">
        <v>1299</v>
      </c>
      <c r="C48" s="44" t="s">
        <v>3557</v>
      </c>
      <c r="D48" s="20" t="s">
        <v>3093</v>
      </c>
      <c r="E48" s="51" t="s">
        <v>3</v>
      </c>
      <c r="F48" s="11">
        <v>44085</v>
      </c>
      <c r="G48" s="5" t="s">
        <v>2994</v>
      </c>
      <c r="H48" s="2"/>
      <c r="I48" s="4">
        <v>3500000</v>
      </c>
      <c r="J48" s="4">
        <v>3500000</v>
      </c>
      <c r="K48" s="4">
        <v>0</v>
      </c>
      <c r="L48" s="64" t="s">
        <v>3539</v>
      </c>
      <c r="M48" s="5" t="s">
        <v>3</v>
      </c>
      <c r="N48" s="5" t="s">
        <v>2448</v>
      </c>
      <c r="O48" s="5" t="s">
        <v>563</v>
      </c>
      <c r="P48" s="16" t="s">
        <v>3</v>
      </c>
    </row>
    <row r="49" spans="2:16" x14ac:dyDescent="0.25">
      <c r="B49" s="18" t="s">
        <v>2382</v>
      </c>
      <c r="C49" s="44" t="s">
        <v>3558</v>
      </c>
      <c r="D49" s="20" t="s">
        <v>3093</v>
      </c>
      <c r="E49" s="51" t="s">
        <v>3</v>
      </c>
      <c r="F49" s="11">
        <v>44085</v>
      </c>
      <c r="G49" s="5" t="s">
        <v>2994</v>
      </c>
      <c r="H49" s="2"/>
      <c r="I49" s="4">
        <v>5000000</v>
      </c>
      <c r="J49" s="4">
        <v>5000000</v>
      </c>
      <c r="K49" s="4">
        <v>0</v>
      </c>
      <c r="L49" s="64" t="s">
        <v>3539</v>
      </c>
      <c r="M49" s="5" t="s">
        <v>3</v>
      </c>
      <c r="N49" s="5" t="s">
        <v>2448</v>
      </c>
      <c r="O49" s="5" t="s">
        <v>563</v>
      </c>
      <c r="P49" s="16" t="s">
        <v>3</v>
      </c>
    </row>
    <row r="50" spans="2:16" x14ac:dyDescent="0.25">
      <c r="B50" s="18" t="s">
        <v>3483</v>
      </c>
      <c r="C50" s="44" t="s">
        <v>2233</v>
      </c>
      <c r="D50" s="20" t="s">
        <v>1646</v>
      </c>
      <c r="E50" s="51" t="s">
        <v>3</v>
      </c>
      <c r="F50" s="11">
        <v>43999</v>
      </c>
      <c r="G50" s="5" t="s">
        <v>2994</v>
      </c>
      <c r="H50" s="2"/>
      <c r="I50" s="4">
        <v>1810500</v>
      </c>
      <c r="J50" s="4">
        <v>1800000</v>
      </c>
      <c r="K50" s="4">
        <v>45</v>
      </c>
      <c r="L50" s="64" t="s">
        <v>266</v>
      </c>
      <c r="M50" s="5" t="s">
        <v>4222</v>
      </c>
      <c r="N50" s="5" t="s">
        <v>1646</v>
      </c>
      <c r="O50" s="5" t="s">
        <v>3</v>
      </c>
      <c r="P50" s="16" t="s">
        <v>3</v>
      </c>
    </row>
    <row r="51" spans="2:16" x14ac:dyDescent="0.25">
      <c r="B51" s="18" t="s">
        <v>194</v>
      </c>
      <c r="C51" s="44" t="s">
        <v>2234</v>
      </c>
      <c r="D51" s="20" t="s">
        <v>1646</v>
      </c>
      <c r="E51" s="51" t="s">
        <v>3</v>
      </c>
      <c r="F51" s="11">
        <v>43993</v>
      </c>
      <c r="G51" s="5" t="s">
        <v>2994</v>
      </c>
      <c r="H51" s="2"/>
      <c r="I51" s="4">
        <v>1000000</v>
      </c>
      <c r="J51" s="4">
        <v>1000000</v>
      </c>
      <c r="K51" s="4">
        <v>0</v>
      </c>
      <c r="L51" s="64" t="s">
        <v>266</v>
      </c>
      <c r="M51" s="5" t="s">
        <v>4222</v>
      </c>
      <c r="N51" s="5" t="s">
        <v>1646</v>
      </c>
      <c r="O51" s="5" t="s">
        <v>3</v>
      </c>
      <c r="P51" s="16" t="s">
        <v>3</v>
      </c>
    </row>
    <row r="52" spans="2:16" x14ac:dyDescent="0.25">
      <c r="B52" s="18" t="s">
        <v>1300</v>
      </c>
      <c r="C52" s="44" t="s">
        <v>1173</v>
      </c>
      <c r="D52" s="20" t="s">
        <v>564</v>
      </c>
      <c r="E52" s="51" t="s">
        <v>3</v>
      </c>
      <c r="F52" s="11">
        <v>44070</v>
      </c>
      <c r="G52" s="5" t="s">
        <v>2994</v>
      </c>
      <c r="H52" s="2"/>
      <c r="I52" s="4">
        <v>1500000</v>
      </c>
      <c r="J52" s="4">
        <v>1500000</v>
      </c>
      <c r="K52" s="4">
        <v>0</v>
      </c>
      <c r="L52" s="64" t="s">
        <v>3856</v>
      </c>
      <c r="M52" s="5" t="s">
        <v>3</v>
      </c>
      <c r="N52" s="5" t="s">
        <v>2451</v>
      </c>
      <c r="O52" s="5" t="s">
        <v>2451</v>
      </c>
      <c r="P52" s="16" t="s">
        <v>3</v>
      </c>
    </row>
    <row r="53" spans="2:16" x14ac:dyDescent="0.25">
      <c r="B53" s="18" t="s">
        <v>2639</v>
      </c>
      <c r="C53" s="44" t="s">
        <v>3325</v>
      </c>
      <c r="D53" s="20" t="s">
        <v>564</v>
      </c>
      <c r="E53" s="51" t="s">
        <v>3</v>
      </c>
      <c r="F53" s="11">
        <v>44070</v>
      </c>
      <c r="G53" s="5" t="s">
        <v>2994</v>
      </c>
      <c r="H53" s="2"/>
      <c r="I53" s="4">
        <v>1615000</v>
      </c>
      <c r="J53" s="4">
        <v>1615000</v>
      </c>
      <c r="K53" s="4">
        <v>0</v>
      </c>
      <c r="L53" s="64" t="s">
        <v>3856</v>
      </c>
      <c r="M53" s="5" t="s">
        <v>3</v>
      </c>
      <c r="N53" s="5" t="s">
        <v>2451</v>
      </c>
      <c r="O53" s="5" t="s">
        <v>2451</v>
      </c>
      <c r="P53" s="16" t="s">
        <v>3</v>
      </c>
    </row>
    <row r="54" spans="2:16" x14ac:dyDescent="0.25">
      <c r="B54" s="18" t="s">
        <v>3755</v>
      </c>
      <c r="C54" s="44" t="s">
        <v>3326</v>
      </c>
      <c r="D54" s="20" t="s">
        <v>564</v>
      </c>
      <c r="E54" s="51" t="s">
        <v>3</v>
      </c>
      <c r="F54" s="11">
        <v>44070</v>
      </c>
      <c r="G54" s="5" t="s">
        <v>2994</v>
      </c>
      <c r="H54" s="2"/>
      <c r="I54" s="4">
        <v>1250000</v>
      </c>
      <c r="J54" s="4">
        <v>1250000</v>
      </c>
      <c r="K54" s="4">
        <v>0</v>
      </c>
      <c r="L54" s="64" t="s">
        <v>3856</v>
      </c>
      <c r="M54" s="5" t="s">
        <v>3</v>
      </c>
      <c r="N54" s="5" t="s">
        <v>2451</v>
      </c>
      <c r="O54" s="5" t="s">
        <v>2451</v>
      </c>
      <c r="P54" s="16" t="s">
        <v>3</v>
      </c>
    </row>
    <row r="55" spans="2:16" x14ac:dyDescent="0.25">
      <c r="B55" s="18" t="s">
        <v>477</v>
      </c>
      <c r="C55" s="44" t="s">
        <v>3327</v>
      </c>
      <c r="D55" s="20" t="s">
        <v>564</v>
      </c>
      <c r="E55" s="51" t="s">
        <v>3</v>
      </c>
      <c r="F55" s="11">
        <v>44070</v>
      </c>
      <c r="G55" s="5" t="s">
        <v>2994</v>
      </c>
      <c r="H55" s="2"/>
      <c r="I55" s="4">
        <v>3905000</v>
      </c>
      <c r="J55" s="4">
        <v>3905000</v>
      </c>
      <c r="K55" s="4">
        <v>0</v>
      </c>
      <c r="L55" s="64" t="s">
        <v>3856</v>
      </c>
      <c r="M55" s="5" t="s">
        <v>3</v>
      </c>
      <c r="N55" s="5" t="s">
        <v>2451</v>
      </c>
      <c r="O55" s="5" t="s">
        <v>2451</v>
      </c>
      <c r="P55" s="16" t="s">
        <v>3</v>
      </c>
    </row>
    <row r="56" spans="2:16" x14ac:dyDescent="0.25">
      <c r="B56" s="18" t="s">
        <v>2383</v>
      </c>
      <c r="C56" s="44" t="s">
        <v>3328</v>
      </c>
      <c r="D56" s="20" t="s">
        <v>564</v>
      </c>
      <c r="E56" s="51" t="s">
        <v>3</v>
      </c>
      <c r="F56" s="11">
        <v>44070</v>
      </c>
      <c r="G56" s="5" t="s">
        <v>2994</v>
      </c>
      <c r="H56" s="2"/>
      <c r="I56" s="4">
        <v>5750000</v>
      </c>
      <c r="J56" s="4">
        <v>5750000</v>
      </c>
      <c r="K56" s="4">
        <v>0</v>
      </c>
      <c r="L56" s="64" t="s">
        <v>3856</v>
      </c>
      <c r="M56" s="5" t="s">
        <v>3</v>
      </c>
      <c r="N56" s="5" t="s">
        <v>2451</v>
      </c>
      <c r="O56" s="5" t="s">
        <v>2451</v>
      </c>
      <c r="P56" s="16" t="s">
        <v>3</v>
      </c>
    </row>
    <row r="57" spans="2:16" x14ac:dyDescent="0.25">
      <c r="B57" s="18" t="s">
        <v>3484</v>
      </c>
      <c r="C57" s="44" t="s">
        <v>2731</v>
      </c>
      <c r="D57" s="20" t="s">
        <v>1648</v>
      </c>
      <c r="E57" s="51" t="s">
        <v>3</v>
      </c>
      <c r="F57" s="11">
        <v>43853</v>
      </c>
      <c r="G57" s="5" t="s">
        <v>2995</v>
      </c>
      <c r="H57" s="2"/>
      <c r="I57" s="4">
        <v>1000000</v>
      </c>
      <c r="J57" s="4">
        <v>1000000</v>
      </c>
      <c r="K57" s="4">
        <v>0</v>
      </c>
      <c r="L57" s="64" t="s">
        <v>267</v>
      </c>
      <c r="M57" s="5" t="s">
        <v>4224</v>
      </c>
      <c r="N57" s="5" t="s">
        <v>921</v>
      </c>
      <c r="O57" s="5" t="s">
        <v>921</v>
      </c>
      <c r="P57" s="16" t="s">
        <v>3</v>
      </c>
    </row>
    <row r="58" spans="2:16" x14ac:dyDescent="0.25">
      <c r="B58" s="7" t="s">
        <v>2713</v>
      </c>
      <c r="C58" s="1" t="s">
        <v>2713</v>
      </c>
      <c r="D58" s="8" t="s">
        <v>2713</v>
      </c>
      <c r="E58" s="1" t="s">
        <v>2713</v>
      </c>
      <c r="F58" s="15" t="s">
        <v>2713</v>
      </c>
      <c r="G58" s="1" t="s">
        <v>2713</v>
      </c>
      <c r="H58" s="1" t="s">
        <v>2713</v>
      </c>
      <c r="I58" s="1" t="s">
        <v>2713</v>
      </c>
      <c r="J58" s="1" t="s">
        <v>2713</v>
      </c>
      <c r="K58" s="1" t="s">
        <v>2713</v>
      </c>
      <c r="L58" s="1" t="s">
        <v>2713</v>
      </c>
      <c r="M58" s="1" t="s">
        <v>2713</v>
      </c>
      <c r="N58" s="1" t="s">
        <v>2713</v>
      </c>
      <c r="O58" s="1" t="s">
        <v>2713</v>
      </c>
      <c r="P58" s="1" t="s">
        <v>2713</v>
      </c>
    </row>
    <row r="59" spans="2:16" ht="27.6" x14ac:dyDescent="0.25">
      <c r="B59" s="21" t="s">
        <v>2453</v>
      </c>
      <c r="C59" s="19" t="s">
        <v>810</v>
      </c>
      <c r="D59" s="17"/>
      <c r="E59" s="2"/>
      <c r="F59" s="27"/>
      <c r="G59" s="2"/>
      <c r="H59" s="2"/>
      <c r="I59" s="3">
        <f>SUM('GMIC_2020-Annu_SCDPT3'!SCDPT3_31BEGIN_7:'GMIC_2020-Annu_SCDPT3'!SCDPT3_31ENDIN_7)</f>
        <v>76386428</v>
      </c>
      <c r="J59" s="3">
        <f>SUM('GMIC_2020-Annu_SCDPT3'!SCDPT3_31BEGIN_8:'GMIC_2020-Annu_SCDPT3'!SCDPT3_31ENDIN_8)</f>
        <v>76440000</v>
      </c>
      <c r="K59" s="3">
        <f>SUM('GMIC_2020-Annu_SCDPT3'!SCDPT3_31BEGIN_9:'GMIC_2020-Annu_SCDPT3'!SCDPT3_31ENDIN_9)</f>
        <v>5942</v>
      </c>
      <c r="L59" s="2"/>
      <c r="M59" s="2"/>
      <c r="N59" s="2"/>
      <c r="O59" s="2"/>
      <c r="P59" s="2"/>
    </row>
    <row r="60" spans="2:16" x14ac:dyDescent="0.25">
      <c r="B60" s="7" t="s">
        <v>2713</v>
      </c>
      <c r="C60" s="1" t="s">
        <v>2713</v>
      </c>
      <c r="D60" s="8" t="s">
        <v>2713</v>
      </c>
      <c r="E60" s="1" t="s">
        <v>2713</v>
      </c>
      <c r="F60" s="15" t="s">
        <v>2713</v>
      </c>
      <c r="G60" s="1" t="s">
        <v>2713</v>
      </c>
      <c r="H60" s="1" t="s">
        <v>2713</v>
      </c>
      <c r="I60" s="1" t="s">
        <v>2713</v>
      </c>
      <c r="J60" s="1" t="s">
        <v>2713</v>
      </c>
      <c r="K60" s="1" t="s">
        <v>2713</v>
      </c>
      <c r="L60" s="1" t="s">
        <v>2713</v>
      </c>
      <c r="M60" s="1" t="s">
        <v>2713</v>
      </c>
      <c r="N60" s="1" t="s">
        <v>2713</v>
      </c>
      <c r="O60" s="1" t="s">
        <v>2713</v>
      </c>
      <c r="P60" s="1" t="s">
        <v>2713</v>
      </c>
    </row>
    <row r="61" spans="2:16" x14ac:dyDescent="0.25">
      <c r="B61" s="18" t="s">
        <v>1301</v>
      </c>
      <c r="C61" s="44" t="s">
        <v>1179</v>
      </c>
      <c r="D61" s="20" t="s">
        <v>1302</v>
      </c>
      <c r="E61" s="22" t="s">
        <v>3</v>
      </c>
      <c r="F61" s="11">
        <v>44154</v>
      </c>
      <c r="G61" s="5" t="s">
        <v>4396</v>
      </c>
      <c r="H61" s="2"/>
      <c r="I61" s="4">
        <v>6992750</v>
      </c>
      <c r="J61" s="4">
        <v>7000000</v>
      </c>
      <c r="K61" s="4">
        <v>0</v>
      </c>
      <c r="L61" s="2"/>
      <c r="M61" s="5" t="s">
        <v>1178</v>
      </c>
      <c r="N61" s="5" t="s">
        <v>1650</v>
      </c>
      <c r="O61" s="5" t="s">
        <v>3</v>
      </c>
      <c r="P61" s="16" t="s">
        <v>3</v>
      </c>
    </row>
    <row r="62" spans="2:16" x14ac:dyDescent="0.25">
      <c r="B62" s="18" t="s">
        <v>2384</v>
      </c>
      <c r="C62" s="44" t="s">
        <v>1364</v>
      </c>
      <c r="D62" s="20" t="s">
        <v>271</v>
      </c>
      <c r="E62" s="51" t="s">
        <v>3</v>
      </c>
      <c r="F62" s="11">
        <v>44179</v>
      </c>
      <c r="G62" s="5" t="s">
        <v>1104</v>
      </c>
      <c r="H62" s="2"/>
      <c r="I62" s="4">
        <v>8377072</v>
      </c>
      <c r="J62" s="4">
        <v>8281000</v>
      </c>
      <c r="K62" s="4">
        <v>28539</v>
      </c>
      <c r="L62" s="2"/>
      <c r="M62" s="5" t="s">
        <v>3332</v>
      </c>
      <c r="N62" s="5" t="s">
        <v>271</v>
      </c>
      <c r="O62" s="5" t="s">
        <v>3</v>
      </c>
      <c r="P62" s="16" t="s">
        <v>3</v>
      </c>
    </row>
    <row r="63" spans="2:16" x14ac:dyDescent="0.25">
      <c r="B63" s="18" t="s">
        <v>3485</v>
      </c>
      <c r="C63" s="44" t="s">
        <v>2459</v>
      </c>
      <c r="D63" s="20" t="s">
        <v>3861</v>
      </c>
      <c r="E63" s="51" t="s">
        <v>3</v>
      </c>
      <c r="F63" s="11">
        <v>43948</v>
      </c>
      <c r="G63" s="5" t="s">
        <v>2994</v>
      </c>
      <c r="H63" s="2"/>
      <c r="I63" s="4">
        <v>2497524</v>
      </c>
      <c r="J63" s="4">
        <v>2500000</v>
      </c>
      <c r="K63" s="4">
        <v>0</v>
      </c>
      <c r="L63" s="2"/>
      <c r="M63" s="5" t="s">
        <v>1653</v>
      </c>
      <c r="N63" s="5" t="s">
        <v>3861</v>
      </c>
      <c r="O63" s="5" t="s">
        <v>3</v>
      </c>
      <c r="P63" s="16" t="s">
        <v>3</v>
      </c>
    </row>
    <row r="64" spans="2:16" x14ac:dyDescent="0.25">
      <c r="B64" s="18" t="s">
        <v>478</v>
      </c>
      <c r="C64" s="44" t="s">
        <v>2007</v>
      </c>
      <c r="D64" s="20" t="s">
        <v>4230</v>
      </c>
      <c r="E64" s="51" t="s">
        <v>3</v>
      </c>
      <c r="F64" s="11">
        <v>44144</v>
      </c>
      <c r="G64" s="5" t="s">
        <v>1104</v>
      </c>
      <c r="H64" s="2"/>
      <c r="I64" s="4">
        <v>4005000</v>
      </c>
      <c r="J64" s="4">
        <v>4000000</v>
      </c>
      <c r="K64" s="4">
        <v>0</v>
      </c>
      <c r="L64" s="2"/>
      <c r="M64" s="5" t="s">
        <v>2734</v>
      </c>
      <c r="N64" s="5" t="s">
        <v>2008</v>
      </c>
      <c r="O64" s="5" t="s">
        <v>928</v>
      </c>
      <c r="P64" s="16" t="s">
        <v>3</v>
      </c>
    </row>
    <row r="65" spans="2:16" x14ac:dyDescent="0.25">
      <c r="B65" s="18" t="s">
        <v>1551</v>
      </c>
      <c r="C65" s="44" t="s">
        <v>3333</v>
      </c>
      <c r="D65" s="20" t="s">
        <v>1552</v>
      </c>
      <c r="E65" s="51" t="s">
        <v>3</v>
      </c>
      <c r="F65" s="11">
        <v>43944</v>
      </c>
      <c r="G65" s="5" t="s">
        <v>4396</v>
      </c>
      <c r="H65" s="2"/>
      <c r="I65" s="4">
        <v>3314490</v>
      </c>
      <c r="J65" s="4">
        <v>3425000</v>
      </c>
      <c r="K65" s="4">
        <v>0</v>
      </c>
      <c r="L65" s="2"/>
      <c r="M65" s="5" t="s">
        <v>2239</v>
      </c>
      <c r="N65" s="5" t="s">
        <v>34</v>
      </c>
      <c r="O65" s="5" t="s">
        <v>3</v>
      </c>
      <c r="P65" s="16" t="s">
        <v>3</v>
      </c>
    </row>
    <row r="66" spans="2:16" x14ac:dyDescent="0.25">
      <c r="B66" s="18" t="s">
        <v>2640</v>
      </c>
      <c r="C66" s="44" t="s">
        <v>2240</v>
      </c>
      <c r="D66" s="20" t="s">
        <v>1655</v>
      </c>
      <c r="E66" s="51" t="s">
        <v>3</v>
      </c>
      <c r="F66" s="11">
        <v>43873</v>
      </c>
      <c r="G66" s="5" t="s">
        <v>2994</v>
      </c>
      <c r="H66" s="2"/>
      <c r="I66" s="4">
        <v>20046500</v>
      </c>
      <c r="J66" s="4">
        <v>20000000</v>
      </c>
      <c r="K66" s="4">
        <v>12404</v>
      </c>
      <c r="L66" s="2"/>
      <c r="M66" s="5" t="s">
        <v>1368</v>
      </c>
      <c r="N66" s="5" t="s">
        <v>1655</v>
      </c>
      <c r="O66" s="5" t="s">
        <v>3</v>
      </c>
      <c r="P66" s="16" t="s">
        <v>3</v>
      </c>
    </row>
    <row r="67" spans="2:16" x14ac:dyDescent="0.25">
      <c r="B67" s="18" t="s">
        <v>3756</v>
      </c>
      <c r="C67" s="44" t="s">
        <v>279</v>
      </c>
      <c r="D67" s="20" t="s">
        <v>38</v>
      </c>
      <c r="E67" s="51" t="s">
        <v>3</v>
      </c>
      <c r="F67" s="11">
        <v>43837</v>
      </c>
      <c r="G67" s="5" t="s">
        <v>2994</v>
      </c>
      <c r="H67" s="2"/>
      <c r="I67" s="4">
        <v>4995250</v>
      </c>
      <c r="J67" s="4">
        <v>5000000</v>
      </c>
      <c r="K67" s="4">
        <v>0</v>
      </c>
      <c r="L67" s="2"/>
      <c r="M67" s="5" t="s">
        <v>930</v>
      </c>
      <c r="N67" s="5" t="s">
        <v>37</v>
      </c>
      <c r="O67" s="5" t="s">
        <v>2241</v>
      </c>
      <c r="P67" s="16" t="s">
        <v>3</v>
      </c>
    </row>
    <row r="68" spans="2:16" x14ac:dyDescent="0.25">
      <c r="B68" s="18" t="s">
        <v>479</v>
      </c>
      <c r="C68" s="44" t="s">
        <v>2740</v>
      </c>
      <c r="D68" s="20" t="s">
        <v>3864</v>
      </c>
      <c r="E68" s="51" t="s">
        <v>3</v>
      </c>
      <c r="F68" s="11">
        <v>43873</v>
      </c>
      <c r="G68" s="5" t="s">
        <v>2994</v>
      </c>
      <c r="H68" s="2"/>
      <c r="I68" s="4">
        <v>7698370</v>
      </c>
      <c r="J68" s="4">
        <v>7353000</v>
      </c>
      <c r="K68" s="4">
        <v>89845</v>
      </c>
      <c r="L68" s="2"/>
      <c r="M68" s="5" t="s">
        <v>2741</v>
      </c>
      <c r="N68" s="5" t="s">
        <v>3864</v>
      </c>
      <c r="O68" s="5" t="s">
        <v>3</v>
      </c>
      <c r="P68" s="16" t="s">
        <v>3</v>
      </c>
    </row>
    <row r="69" spans="2:16" x14ac:dyDescent="0.25">
      <c r="B69" s="18" t="s">
        <v>1553</v>
      </c>
      <c r="C69" s="44" t="s">
        <v>2742</v>
      </c>
      <c r="D69" s="20" t="s">
        <v>4117</v>
      </c>
      <c r="E69" s="51" t="s">
        <v>3</v>
      </c>
      <c r="F69" s="11">
        <v>43985</v>
      </c>
      <c r="G69" s="5" t="s">
        <v>1104</v>
      </c>
      <c r="H69" s="2"/>
      <c r="I69" s="4">
        <v>7148710</v>
      </c>
      <c r="J69" s="4">
        <v>7000000</v>
      </c>
      <c r="K69" s="4">
        <v>35629</v>
      </c>
      <c r="L69" s="2"/>
      <c r="M69" s="5" t="s">
        <v>39</v>
      </c>
      <c r="N69" s="5" t="s">
        <v>280</v>
      </c>
      <c r="O69" s="5" t="s">
        <v>3</v>
      </c>
      <c r="P69" s="16" t="s">
        <v>3</v>
      </c>
    </row>
    <row r="70" spans="2:16" x14ac:dyDescent="0.25">
      <c r="B70" s="18" t="s">
        <v>3486</v>
      </c>
      <c r="C70" s="44" t="s">
        <v>743</v>
      </c>
      <c r="D70" s="20" t="s">
        <v>2139</v>
      </c>
      <c r="E70" s="51" t="s">
        <v>3</v>
      </c>
      <c r="F70" s="11">
        <v>44042</v>
      </c>
      <c r="G70" s="5" t="s">
        <v>1104</v>
      </c>
      <c r="H70" s="2"/>
      <c r="I70" s="4">
        <v>7551700</v>
      </c>
      <c r="J70" s="4">
        <v>7481250</v>
      </c>
      <c r="K70" s="4">
        <v>539</v>
      </c>
      <c r="L70" s="2"/>
      <c r="M70" s="5" t="s">
        <v>3</v>
      </c>
      <c r="N70" s="5" t="s">
        <v>2330</v>
      </c>
      <c r="O70" s="5" t="s">
        <v>928</v>
      </c>
      <c r="P70" s="16" t="s">
        <v>3</v>
      </c>
    </row>
    <row r="71" spans="2:16" x14ac:dyDescent="0.25">
      <c r="B71" s="18" t="s">
        <v>195</v>
      </c>
      <c r="C71" s="44" t="s">
        <v>1182</v>
      </c>
      <c r="D71" s="20" t="s">
        <v>2245</v>
      </c>
      <c r="E71" s="51" t="s">
        <v>3</v>
      </c>
      <c r="F71" s="11">
        <v>44006</v>
      </c>
      <c r="G71" s="5" t="s">
        <v>480</v>
      </c>
      <c r="H71" s="2"/>
      <c r="I71" s="4">
        <v>2997630</v>
      </c>
      <c r="J71" s="4">
        <v>3000000</v>
      </c>
      <c r="K71" s="4">
        <v>0</v>
      </c>
      <c r="L71" s="2"/>
      <c r="M71" s="5" t="s">
        <v>3</v>
      </c>
      <c r="N71" s="5" t="s">
        <v>3868</v>
      </c>
      <c r="O71" s="5" t="s">
        <v>928</v>
      </c>
      <c r="P71" s="16" t="s">
        <v>3</v>
      </c>
    </row>
    <row r="72" spans="2:16" x14ac:dyDescent="0.25">
      <c r="B72" s="18" t="s">
        <v>1554</v>
      </c>
      <c r="C72" s="44" t="s">
        <v>3439</v>
      </c>
      <c r="D72" s="20" t="s">
        <v>1257</v>
      </c>
      <c r="E72" s="51" t="s">
        <v>3</v>
      </c>
      <c r="F72" s="11">
        <v>44125</v>
      </c>
      <c r="G72" s="5" t="s">
        <v>1105</v>
      </c>
      <c r="H72" s="2"/>
      <c r="I72" s="4">
        <v>8999023</v>
      </c>
      <c r="J72" s="4">
        <v>9000000</v>
      </c>
      <c r="K72" s="4">
        <v>0</v>
      </c>
      <c r="L72" s="2"/>
      <c r="M72" s="5" t="s">
        <v>3</v>
      </c>
      <c r="N72" s="5" t="s">
        <v>3440</v>
      </c>
      <c r="O72" s="5" t="s">
        <v>928</v>
      </c>
      <c r="P72" s="16" t="s">
        <v>3</v>
      </c>
    </row>
    <row r="73" spans="2:16" x14ac:dyDescent="0.25">
      <c r="B73" s="18" t="s">
        <v>2641</v>
      </c>
      <c r="C73" s="44" t="s">
        <v>3441</v>
      </c>
      <c r="D73" s="20" t="s">
        <v>1257</v>
      </c>
      <c r="E73" s="51" t="s">
        <v>3</v>
      </c>
      <c r="F73" s="11">
        <v>44125</v>
      </c>
      <c r="G73" s="5" t="s">
        <v>1105</v>
      </c>
      <c r="H73" s="2"/>
      <c r="I73" s="4">
        <v>5999230</v>
      </c>
      <c r="J73" s="4">
        <v>6000000</v>
      </c>
      <c r="K73" s="4">
        <v>0</v>
      </c>
      <c r="L73" s="2"/>
      <c r="M73" s="5" t="s">
        <v>3</v>
      </c>
      <c r="N73" s="5" t="s">
        <v>3440</v>
      </c>
      <c r="O73" s="5" t="s">
        <v>928</v>
      </c>
      <c r="P73" s="16" t="s">
        <v>3</v>
      </c>
    </row>
    <row r="74" spans="2:16" x14ac:dyDescent="0.25">
      <c r="B74" s="18" t="s">
        <v>3757</v>
      </c>
      <c r="C74" s="44" t="s">
        <v>3341</v>
      </c>
      <c r="D74" s="20" t="s">
        <v>42</v>
      </c>
      <c r="E74" s="51" t="s">
        <v>3</v>
      </c>
      <c r="F74" s="11">
        <v>43927</v>
      </c>
      <c r="G74" s="5" t="s">
        <v>191</v>
      </c>
      <c r="H74" s="2"/>
      <c r="I74" s="4">
        <v>1997940</v>
      </c>
      <c r="J74" s="4">
        <v>2000000</v>
      </c>
      <c r="K74" s="4">
        <v>0</v>
      </c>
      <c r="L74" s="2"/>
      <c r="M74" s="5" t="s">
        <v>285</v>
      </c>
      <c r="N74" s="5" t="s">
        <v>3342</v>
      </c>
      <c r="O74" s="5" t="s">
        <v>928</v>
      </c>
      <c r="P74" s="16" t="s">
        <v>3</v>
      </c>
    </row>
    <row r="75" spans="2:16" x14ac:dyDescent="0.25">
      <c r="B75" s="18" t="s">
        <v>481</v>
      </c>
      <c r="C75" s="44" t="s">
        <v>145</v>
      </c>
      <c r="D75" s="20" t="s">
        <v>4043</v>
      </c>
      <c r="E75" s="51" t="s">
        <v>3</v>
      </c>
      <c r="F75" s="11">
        <v>44105</v>
      </c>
      <c r="G75" s="5" t="s">
        <v>3262</v>
      </c>
      <c r="H75" s="2"/>
      <c r="I75" s="4">
        <v>5469954</v>
      </c>
      <c r="J75" s="4">
        <v>5470462</v>
      </c>
      <c r="K75" s="4">
        <v>0</v>
      </c>
      <c r="L75" s="2"/>
      <c r="M75" s="5" t="s">
        <v>3</v>
      </c>
      <c r="N75" s="5" t="s">
        <v>1850</v>
      </c>
      <c r="O75" s="5" t="s">
        <v>2042</v>
      </c>
      <c r="P75" s="16" t="s">
        <v>3</v>
      </c>
    </row>
    <row r="76" spans="2:16" x14ac:dyDescent="0.25">
      <c r="B76" s="18" t="s">
        <v>1555</v>
      </c>
      <c r="C76" s="44" t="s">
        <v>4354</v>
      </c>
      <c r="D76" s="20" t="s">
        <v>4353</v>
      </c>
      <c r="E76" s="51" t="s">
        <v>3</v>
      </c>
      <c r="F76" s="11">
        <v>44105</v>
      </c>
      <c r="G76" s="5" t="s">
        <v>3262</v>
      </c>
      <c r="H76" s="2"/>
      <c r="I76" s="4">
        <v>2263267</v>
      </c>
      <c r="J76" s="4">
        <v>2263612</v>
      </c>
      <c r="K76" s="4">
        <v>0</v>
      </c>
      <c r="L76" s="2"/>
      <c r="M76" s="5" t="s">
        <v>3</v>
      </c>
      <c r="N76" s="5" t="s">
        <v>1850</v>
      </c>
      <c r="O76" s="5" t="s">
        <v>928</v>
      </c>
      <c r="P76" s="16" t="s">
        <v>3</v>
      </c>
    </row>
    <row r="77" spans="2:16" x14ac:dyDescent="0.25">
      <c r="B77" s="18" t="s">
        <v>2642</v>
      </c>
      <c r="C77" s="44" t="s">
        <v>3872</v>
      </c>
      <c r="D77" s="20" t="s">
        <v>196</v>
      </c>
      <c r="E77" s="51" t="s">
        <v>3</v>
      </c>
      <c r="F77" s="11">
        <v>43871</v>
      </c>
      <c r="G77" s="5" t="s">
        <v>191</v>
      </c>
      <c r="H77" s="2"/>
      <c r="I77" s="4">
        <v>5000000</v>
      </c>
      <c r="J77" s="4">
        <v>5000000</v>
      </c>
      <c r="K77" s="4">
        <v>0</v>
      </c>
      <c r="L77" s="2"/>
      <c r="M77" s="5" t="s">
        <v>934</v>
      </c>
      <c r="N77" s="5" t="s">
        <v>1667</v>
      </c>
      <c r="O77" s="5" t="s">
        <v>3</v>
      </c>
      <c r="P77" s="16" t="s">
        <v>3</v>
      </c>
    </row>
    <row r="78" spans="2:16" x14ac:dyDescent="0.25">
      <c r="B78" s="18" t="s">
        <v>3758</v>
      </c>
      <c r="C78" s="44" t="s">
        <v>935</v>
      </c>
      <c r="D78" s="20" t="s">
        <v>3759</v>
      </c>
      <c r="E78" s="51" t="s">
        <v>3</v>
      </c>
      <c r="F78" s="11">
        <v>44120</v>
      </c>
      <c r="G78" s="5" t="s">
        <v>191</v>
      </c>
      <c r="H78" s="2"/>
      <c r="I78" s="4">
        <v>20000000</v>
      </c>
      <c r="J78" s="4">
        <v>20000000</v>
      </c>
      <c r="K78" s="4">
        <v>0</v>
      </c>
      <c r="L78" s="2"/>
      <c r="M78" s="5" t="s">
        <v>934</v>
      </c>
      <c r="N78" s="5" t="s">
        <v>1667</v>
      </c>
      <c r="O78" s="5" t="s">
        <v>3</v>
      </c>
      <c r="P78" s="16" t="s">
        <v>3</v>
      </c>
    </row>
    <row r="79" spans="2:16" x14ac:dyDescent="0.25">
      <c r="B79" s="18" t="s">
        <v>482</v>
      </c>
      <c r="C79" s="44" t="s">
        <v>1669</v>
      </c>
      <c r="D79" s="20" t="s">
        <v>2246</v>
      </c>
      <c r="E79" s="51" t="s">
        <v>3</v>
      </c>
      <c r="F79" s="11">
        <v>43873</v>
      </c>
      <c r="G79" s="5" t="s">
        <v>1104</v>
      </c>
      <c r="H79" s="2"/>
      <c r="I79" s="4">
        <v>10262100</v>
      </c>
      <c r="J79" s="4">
        <v>10000000</v>
      </c>
      <c r="K79" s="4">
        <v>2168</v>
      </c>
      <c r="L79" s="2"/>
      <c r="M79" s="5" t="s">
        <v>936</v>
      </c>
      <c r="N79" s="5" t="s">
        <v>578</v>
      </c>
      <c r="O79" s="5" t="s">
        <v>3344</v>
      </c>
      <c r="P79" s="16" t="s">
        <v>3</v>
      </c>
    </row>
    <row r="80" spans="2:16" x14ac:dyDescent="0.25">
      <c r="B80" s="18" t="s">
        <v>2385</v>
      </c>
      <c r="C80" s="44" t="s">
        <v>3876</v>
      </c>
      <c r="D80" s="20" t="s">
        <v>2758</v>
      </c>
      <c r="E80" s="51" t="s">
        <v>3</v>
      </c>
      <c r="F80" s="11">
        <v>44180</v>
      </c>
      <c r="G80" s="5" t="s">
        <v>1293</v>
      </c>
      <c r="H80" s="2"/>
      <c r="I80" s="4">
        <v>8996940</v>
      </c>
      <c r="J80" s="4">
        <v>9000000</v>
      </c>
      <c r="K80" s="4">
        <v>0</v>
      </c>
      <c r="L80" s="2"/>
      <c r="M80" s="5" t="s">
        <v>3573</v>
      </c>
      <c r="N80" s="5" t="s">
        <v>3345</v>
      </c>
      <c r="O80" s="5" t="s">
        <v>928</v>
      </c>
      <c r="P80" s="16" t="s">
        <v>3</v>
      </c>
    </row>
    <row r="81" spans="2:16" x14ac:dyDescent="0.25">
      <c r="B81" s="18" t="s">
        <v>3760</v>
      </c>
      <c r="C81" s="44" t="s">
        <v>1676</v>
      </c>
      <c r="D81" s="20" t="s">
        <v>290</v>
      </c>
      <c r="E81" s="51" t="s">
        <v>3</v>
      </c>
      <c r="F81" s="11">
        <v>43965</v>
      </c>
      <c r="G81" s="5" t="s">
        <v>4397</v>
      </c>
      <c r="H81" s="2"/>
      <c r="I81" s="4">
        <v>4997600</v>
      </c>
      <c r="J81" s="4">
        <v>5000000</v>
      </c>
      <c r="K81" s="4">
        <v>0</v>
      </c>
      <c r="L81" s="2"/>
      <c r="M81" s="5" t="s">
        <v>3346</v>
      </c>
      <c r="N81" s="5" t="s">
        <v>44</v>
      </c>
      <c r="O81" s="5" t="s">
        <v>3104</v>
      </c>
      <c r="P81" s="16" t="s">
        <v>3</v>
      </c>
    </row>
    <row r="82" spans="2:16" x14ac:dyDescent="0.25">
      <c r="B82" s="18" t="s">
        <v>483</v>
      </c>
      <c r="C82" s="44" t="s">
        <v>3879</v>
      </c>
      <c r="D82" s="20" t="s">
        <v>583</v>
      </c>
      <c r="E82" s="51" t="s">
        <v>3</v>
      </c>
      <c r="F82" s="11">
        <v>44029</v>
      </c>
      <c r="G82" s="5" t="s">
        <v>4396</v>
      </c>
      <c r="H82" s="2"/>
      <c r="I82" s="4">
        <v>6983956</v>
      </c>
      <c r="J82" s="4">
        <v>7000000</v>
      </c>
      <c r="K82" s="4">
        <v>0</v>
      </c>
      <c r="L82" s="2"/>
      <c r="M82" s="5" t="s">
        <v>2016</v>
      </c>
      <c r="N82" s="5" t="s">
        <v>583</v>
      </c>
      <c r="O82" s="5" t="s">
        <v>3</v>
      </c>
      <c r="P82" s="16" t="s">
        <v>3</v>
      </c>
    </row>
    <row r="83" spans="2:16" x14ac:dyDescent="0.25">
      <c r="B83" s="18" t="s">
        <v>1556</v>
      </c>
      <c r="C83" s="44" t="s">
        <v>1680</v>
      </c>
      <c r="D83" s="20" t="s">
        <v>583</v>
      </c>
      <c r="E83" s="51" t="s">
        <v>3</v>
      </c>
      <c r="F83" s="11">
        <v>44029</v>
      </c>
      <c r="G83" s="5" t="s">
        <v>4396</v>
      </c>
      <c r="H83" s="2"/>
      <c r="I83" s="4">
        <v>6910006</v>
      </c>
      <c r="J83" s="4">
        <v>6900000</v>
      </c>
      <c r="K83" s="4">
        <v>0</v>
      </c>
      <c r="L83" s="2"/>
      <c r="M83" s="5" t="s">
        <v>2016</v>
      </c>
      <c r="N83" s="5" t="s">
        <v>583</v>
      </c>
      <c r="O83" s="5" t="s">
        <v>3</v>
      </c>
      <c r="P83" s="16" t="s">
        <v>3</v>
      </c>
    </row>
    <row r="84" spans="2:16" x14ac:dyDescent="0.25">
      <c r="B84" s="18" t="s">
        <v>2643</v>
      </c>
      <c r="C84" s="44" t="s">
        <v>1681</v>
      </c>
      <c r="D84" s="20" t="s">
        <v>583</v>
      </c>
      <c r="E84" s="51" t="s">
        <v>3</v>
      </c>
      <c r="F84" s="11">
        <v>44029</v>
      </c>
      <c r="G84" s="5" t="s">
        <v>4396</v>
      </c>
      <c r="H84" s="2"/>
      <c r="I84" s="4">
        <v>4987184</v>
      </c>
      <c r="J84" s="4">
        <v>5000000</v>
      </c>
      <c r="K84" s="4">
        <v>0</v>
      </c>
      <c r="L84" s="2"/>
      <c r="M84" s="5" t="s">
        <v>2016</v>
      </c>
      <c r="N84" s="5" t="s">
        <v>583</v>
      </c>
      <c r="O84" s="5" t="s">
        <v>3</v>
      </c>
      <c r="P84" s="16" t="s">
        <v>3</v>
      </c>
    </row>
    <row r="85" spans="2:16" x14ac:dyDescent="0.25">
      <c r="B85" s="18" t="s">
        <v>3761</v>
      </c>
      <c r="C85" s="44" t="s">
        <v>3880</v>
      </c>
      <c r="D85" s="20" t="s">
        <v>941</v>
      </c>
      <c r="E85" s="51" t="s">
        <v>3</v>
      </c>
      <c r="F85" s="11">
        <v>43985</v>
      </c>
      <c r="G85" s="5" t="s">
        <v>1557</v>
      </c>
      <c r="H85" s="2"/>
      <c r="I85" s="4">
        <v>2076620</v>
      </c>
      <c r="J85" s="4">
        <v>2000000</v>
      </c>
      <c r="K85" s="4">
        <v>27222</v>
      </c>
      <c r="L85" s="2"/>
      <c r="M85" s="5" t="s">
        <v>3</v>
      </c>
      <c r="N85" s="5" t="s">
        <v>292</v>
      </c>
      <c r="O85" s="5" t="s">
        <v>584</v>
      </c>
      <c r="P85" s="16" t="s">
        <v>3</v>
      </c>
    </row>
    <row r="86" spans="2:16" x14ac:dyDescent="0.25">
      <c r="B86" s="18" t="s">
        <v>484</v>
      </c>
      <c r="C86" s="44" t="s">
        <v>3574</v>
      </c>
      <c r="D86" s="20" t="s">
        <v>4118</v>
      </c>
      <c r="E86" s="51" t="s">
        <v>3</v>
      </c>
      <c r="F86" s="11">
        <v>44054</v>
      </c>
      <c r="G86" s="5" t="s">
        <v>4396</v>
      </c>
      <c r="H86" s="2"/>
      <c r="I86" s="4">
        <v>3365973</v>
      </c>
      <c r="J86" s="4">
        <v>3186000</v>
      </c>
      <c r="K86" s="4">
        <v>0</v>
      </c>
      <c r="L86" s="2"/>
      <c r="M86" s="5" t="s">
        <v>1373</v>
      </c>
      <c r="N86" s="5" t="s">
        <v>2251</v>
      </c>
      <c r="O86" s="5" t="s">
        <v>3</v>
      </c>
      <c r="P86" s="16" t="s">
        <v>3</v>
      </c>
    </row>
    <row r="87" spans="2:16" x14ac:dyDescent="0.25">
      <c r="B87" s="18" t="s">
        <v>1558</v>
      </c>
      <c r="C87" s="44" t="s">
        <v>2469</v>
      </c>
      <c r="D87" s="20" t="s">
        <v>197</v>
      </c>
      <c r="E87" s="51" t="s">
        <v>3</v>
      </c>
      <c r="F87" s="11">
        <v>44054</v>
      </c>
      <c r="G87" s="5" t="s">
        <v>4396</v>
      </c>
      <c r="H87" s="2"/>
      <c r="I87" s="4">
        <v>4969365</v>
      </c>
      <c r="J87" s="4">
        <v>5000000</v>
      </c>
      <c r="K87" s="4">
        <v>0</v>
      </c>
      <c r="L87" s="2"/>
      <c r="M87" s="5" t="s">
        <v>1373</v>
      </c>
      <c r="N87" s="5" t="s">
        <v>2251</v>
      </c>
      <c r="O87" s="5" t="s">
        <v>3</v>
      </c>
      <c r="P87" s="16" t="s">
        <v>3</v>
      </c>
    </row>
    <row r="88" spans="2:16" x14ac:dyDescent="0.25">
      <c r="B88" s="18" t="s">
        <v>2644</v>
      </c>
      <c r="C88" s="44" t="s">
        <v>45</v>
      </c>
      <c r="D88" s="20" t="s">
        <v>1187</v>
      </c>
      <c r="E88" s="51" t="s">
        <v>3</v>
      </c>
      <c r="F88" s="11">
        <v>44019</v>
      </c>
      <c r="G88" s="5" t="s">
        <v>191</v>
      </c>
      <c r="H88" s="2"/>
      <c r="I88" s="4">
        <v>1930000</v>
      </c>
      <c r="J88" s="4">
        <v>2000000</v>
      </c>
      <c r="K88" s="4">
        <v>20300</v>
      </c>
      <c r="L88" s="2"/>
      <c r="M88" s="5" t="s">
        <v>2252</v>
      </c>
      <c r="N88" s="5" t="s">
        <v>585</v>
      </c>
      <c r="O88" s="5" t="s">
        <v>4238</v>
      </c>
      <c r="P88" s="16" t="s">
        <v>3</v>
      </c>
    </row>
    <row r="89" spans="2:16" x14ac:dyDescent="0.25">
      <c r="B89" s="18" t="s">
        <v>3762</v>
      </c>
      <c r="C89" s="44" t="s">
        <v>3575</v>
      </c>
      <c r="D89" s="20" t="s">
        <v>3576</v>
      </c>
      <c r="E89" s="51" t="s">
        <v>3</v>
      </c>
      <c r="F89" s="11">
        <v>43872</v>
      </c>
      <c r="G89" s="5" t="s">
        <v>198</v>
      </c>
      <c r="H89" s="2"/>
      <c r="I89" s="4">
        <v>1000000</v>
      </c>
      <c r="J89" s="4">
        <v>1000000</v>
      </c>
      <c r="K89" s="4">
        <v>0</v>
      </c>
      <c r="L89" s="2"/>
      <c r="M89" s="5" t="s">
        <v>2252</v>
      </c>
      <c r="N89" s="5" t="s">
        <v>585</v>
      </c>
      <c r="O89" s="5" t="s">
        <v>928</v>
      </c>
      <c r="P89" s="16" t="s">
        <v>3</v>
      </c>
    </row>
    <row r="90" spans="2:16" x14ac:dyDescent="0.25">
      <c r="B90" s="18" t="s">
        <v>1559</v>
      </c>
      <c r="C90" s="44" t="s">
        <v>1374</v>
      </c>
      <c r="D90" s="20" t="s">
        <v>2178</v>
      </c>
      <c r="E90" s="51" t="s">
        <v>3</v>
      </c>
      <c r="F90" s="11">
        <v>43873</v>
      </c>
      <c r="G90" s="5" t="s">
        <v>2994</v>
      </c>
      <c r="H90" s="2"/>
      <c r="I90" s="4">
        <v>6147780</v>
      </c>
      <c r="J90" s="4">
        <v>6000000</v>
      </c>
      <c r="K90" s="4">
        <v>15950</v>
      </c>
      <c r="L90" s="2"/>
      <c r="M90" s="5" t="s">
        <v>293</v>
      </c>
      <c r="N90" s="5" t="s">
        <v>2470</v>
      </c>
      <c r="O90" s="5" t="s">
        <v>3</v>
      </c>
      <c r="P90" s="16" t="s">
        <v>3</v>
      </c>
    </row>
    <row r="91" spans="2:16" x14ac:dyDescent="0.25">
      <c r="B91" s="18" t="s">
        <v>2645</v>
      </c>
      <c r="C91" s="44" t="s">
        <v>420</v>
      </c>
      <c r="D91" s="20" t="s">
        <v>421</v>
      </c>
      <c r="E91" s="51" t="s">
        <v>3</v>
      </c>
      <c r="F91" s="11">
        <v>44168</v>
      </c>
      <c r="G91" s="5" t="s">
        <v>4394</v>
      </c>
      <c r="H91" s="2"/>
      <c r="I91" s="4">
        <v>4034219</v>
      </c>
      <c r="J91" s="4">
        <v>4000000</v>
      </c>
      <c r="K91" s="4">
        <v>3041</v>
      </c>
      <c r="L91" s="2"/>
      <c r="M91" s="5" t="s">
        <v>3</v>
      </c>
      <c r="N91" s="5" t="s">
        <v>2333</v>
      </c>
      <c r="O91" s="5" t="s">
        <v>928</v>
      </c>
      <c r="P91" s="16" t="s">
        <v>3</v>
      </c>
    </row>
    <row r="92" spans="2:16" x14ac:dyDescent="0.25">
      <c r="B92" s="18" t="s">
        <v>3763</v>
      </c>
      <c r="C92" s="44" t="s">
        <v>423</v>
      </c>
      <c r="D92" s="20" t="s">
        <v>421</v>
      </c>
      <c r="E92" s="51" t="s">
        <v>3</v>
      </c>
      <c r="F92" s="11">
        <v>44047</v>
      </c>
      <c r="G92" s="5" t="s">
        <v>1560</v>
      </c>
      <c r="H92" s="2"/>
      <c r="I92" s="4">
        <v>3499527</v>
      </c>
      <c r="J92" s="4">
        <v>3500000</v>
      </c>
      <c r="K92" s="4">
        <v>0</v>
      </c>
      <c r="L92" s="2"/>
      <c r="M92" s="5" t="s">
        <v>3</v>
      </c>
      <c r="N92" s="5" t="s">
        <v>2333</v>
      </c>
      <c r="O92" s="5" t="s">
        <v>928</v>
      </c>
      <c r="P92" s="16" t="s">
        <v>3</v>
      </c>
    </row>
    <row r="93" spans="2:16" x14ac:dyDescent="0.25">
      <c r="B93" s="18" t="s">
        <v>485</v>
      </c>
      <c r="C93" s="44" t="s">
        <v>3347</v>
      </c>
      <c r="D93" s="20" t="s">
        <v>4398</v>
      </c>
      <c r="E93" s="51" t="s">
        <v>3</v>
      </c>
      <c r="F93" s="11">
        <v>44026</v>
      </c>
      <c r="G93" s="5" t="s">
        <v>4396</v>
      </c>
      <c r="H93" s="2"/>
      <c r="I93" s="4">
        <v>5052626</v>
      </c>
      <c r="J93" s="4">
        <v>5000000</v>
      </c>
      <c r="K93" s="4">
        <v>0</v>
      </c>
      <c r="L93" s="2"/>
      <c r="M93" s="5" t="s">
        <v>3</v>
      </c>
      <c r="N93" s="5" t="s">
        <v>943</v>
      </c>
      <c r="O93" s="5" t="s">
        <v>3</v>
      </c>
      <c r="P93" s="16" t="s">
        <v>3</v>
      </c>
    </row>
    <row r="94" spans="2:16" x14ac:dyDescent="0.25">
      <c r="B94" s="18" t="s">
        <v>1561</v>
      </c>
      <c r="C94" s="44" t="s">
        <v>48</v>
      </c>
      <c r="D94" s="20" t="s">
        <v>1303</v>
      </c>
      <c r="E94" s="51" t="s">
        <v>3</v>
      </c>
      <c r="F94" s="11">
        <v>44026</v>
      </c>
      <c r="G94" s="5" t="s">
        <v>4396</v>
      </c>
      <c r="H94" s="2"/>
      <c r="I94" s="4">
        <v>4998112</v>
      </c>
      <c r="J94" s="4">
        <v>5000000</v>
      </c>
      <c r="K94" s="4">
        <v>0</v>
      </c>
      <c r="L94" s="2"/>
      <c r="M94" s="5" t="s">
        <v>3</v>
      </c>
      <c r="N94" s="5" t="s">
        <v>943</v>
      </c>
      <c r="O94" s="5" t="s">
        <v>3</v>
      </c>
      <c r="P94" s="16" t="s">
        <v>3</v>
      </c>
    </row>
    <row r="95" spans="2:16" x14ac:dyDescent="0.25">
      <c r="B95" s="18" t="s">
        <v>2646</v>
      </c>
      <c r="C95" s="44" t="s">
        <v>591</v>
      </c>
      <c r="D95" s="20" t="s">
        <v>199</v>
      </c>
      <c r="E95" s="51" t="s">
        <v>3</v>
      </c>
      <c r="F95" s="11">
        <v>43983</v>
      </c>
      <c r="G95" s="5" t="s">
        <v>2994</v>
      </c>
      <c r="H95" s="2"/>
      <c r="I95" s="4">
        <v>2015000</v>
      </c>
      <c r="J95" s="4">
        <v>2000000</v>
      </c>
      <c r="K95" s="4">
        <v>33889</v>
      </c>
      <c r="L95" s="2"/>
      <c r="M95" s="5" t="s">
        <v>3</v>
      </c>
      <c r="N95" s="5" t="s">
        <v>3883</v>
      </c>
      <c r="O95" s="5" t="s">
        <v>3</v>
      </c>
      <c r="P95" s="16" t="s">
        <v>3</v>
      </c>
    </row>
    <row r="96" spans="2:16" x14ac:dyDescent="0.25">
      <c r="B96" s="18" t="s">
        <v>3764</v>
      </c>
      <c r="C96" s="44" t="s">
        <v>295</v>
      </c>
      <c r="D96" s="20" t="s">
        <v>3765</v>
      </c>
      <c r="E96" s="51" t="s">
        <v>3</v>
      </c>
      <c r="F96" s="11">
        <v>43998</v>
      </c>
      <c r="G96" s="5" t="s">
        <v>999</v>
      </c>
      <c r="H96" s="2"/>
      <c r="I96" s="4">
        <v>3000000</v>
      </c>
      <c r="J96" s="4">
        <v>3000000</v>
      </c>
      <c r="K96" s="4">
        <v>0</v>
      </c>
      <c r="L96" s="2"/>
      <c r="M96" s="5" t="s">
        <v>3</v>
      </c>
      <c r="N96" s="5" t="s">
        <v>3883</v>
      </c>
      <c r="O96" s="5" t="s">
        <v>3</v>
      </c>
      <c r="P96" s="16" t="s">
        <v>3</v>
      </c>
    </row>
    <row r="97" spans="2:16" x14ac:dyDescent="0.25">
      <c r="B97" s="18" t="s">
        <v>486</v>
      </c>
      <c r="C97" s="44" t="s">
        <v>3223</v>
      </c>
      <c r="D97" s="20" t="s">
        <v>4356</v>
      </c>
      <c r="E97" s="51" t="s">
        <v>3</v>
      </c>
      <c r="F97" s="11">
        <v>44070</v>
      </c>
      <c r="G97" s="5" t="s">
        <v>191</v>
      </c>
      <c r="H97" s="2"/>
      <c r="I97" s="4">
        <v>9645554</v>
      </c>
      <c r="J97" s="4">
        <v>9650000</v>
      </c>
      <c r="K97" s="4">
        <v>0</v>
      </c>
      <c r="L97" s="2"/>
      <c r="M97" s="5" t="s">
        <v>3</v>
      </c>
      <c r="N97" s="5" t="s">
        <v>746</v>
      </c>
      <c r="O97" s="5" t="s">
        <v>928</v>
      </c>
      <c r="P97" s="16" t="s">
        <v>3</v>
      </c>
    </row>
    <row r="98" spans="2:16" x14ac:dyDescent="0.25">
      <c r="B98" s="18" t="s">
        <v>1911</v>
      </c>
      <c r="C98" s="44" t="s">
        <v>4357</v>
      </c>
      <c r="D98" s="20" t="s">
        <v>1489</v>
      </c>
      <c r="E98" s="51" t="s">
        <v>3</v>
      </c>
      <c r="F98" s="11">
        <v>44106</v>
      </c>
      <c r="G98" s="5" t="s">
        <v>480</v>
      </c>
      <c r="H98" s="2"/>
      <c r="I98" s="4">
        <v>9722996</v>
      </c>
      <c r="J98" s="4">
        <v>9725000</v>
      </c>
      <c r="K98" s="4">
        <v>0</v>
      </c>
      <c r="L98" s="2"/>
      <c r="M98" s="5" t="s">
        <v>3</v>
      </c>
      <c r="N98" s="5" t="s">
        <v>1489</v>
      </c>
      <c r="O98" s="5" t="s">
        <v>3</v>
      </c>
      <c r="P98" s="16" t="s">
        <v>3</v>
      </c>
    </row>
    <row r="99" spans="2:16" x14ac:dyDescent="0.25">
      <c r="B99" s="18" t="s">
        <v>2996</v>
      </c>
      <c r="C99" s="44" t="s">
        <v>593</v>
      </c>
      <c r="D99" s="20" t="s">
        <v>51</v>
      </c>
      <c r="E99" s="51" t="s">
        <v>3</v>
      </c>
      <c r="F99" s="11">
        <v>43985</v>
      </c>
      <c r="G99" s="5" t="s">
        <v>1557</v>
      </c>
      <c r="H99" s="2"/>
      <c r="I99" s="4">
        <v>8597280</v>
      </c>
      <c r="J99" s="4">
        <v>8000000</v>
      </c>
      <c r="K99" s="4">
        <v>53544</v>
      </c>
      <c r="L99" s="2"/>
      <c r="M99" s="5" t="s">
        <v>2021</v>
      </c>
      <c r="N99" s="5" t="s">
        <v>297</v>
      </c>
      <c r="O99" s="5" t="s">
        <v>928</v>
      </c>
      <c r="P99" s="16" t="s">
        <v>3</v>
      </c>
    </row>
    <row r="100" spans="2:16" x14ac:dyDescent="0.25">
      <c r="B100" s="18" t="s">
        <v>487</v>
      </c>
      <c r="C100" s="44" t="s">
        <v>2768</v>
      </c>
      <c r="D100" s="20" t="s">
        <v>1562</v>
      </c>
      <c r="E100" s="51" t="s">
        <v>3</v>
      </c>
      <c r="F100" s="11">
        <v>43978</v>
      </c>
      <c r="G100" s="5" t="s">
        <v>191</v>
      </c>
      <c r="H100" s="2"/>
      <c r="I100" s="4">
        <v>3000000</v>
      </c>
      <c r="J100" s="4">
        <v>3000000</v>
      </c>
      <c r="K100" s="4">
        <v>0</v>
      </c>
      <c r="L100" s="2"/>
      <c r="M100" s="5" t="s">
        <v>3</v>
      </c>
      <c r="N100" s="5" t="s">
        <v>2767</v>
      </c>
      <c r="O100" s="5" t="s">
        <v>3</v>
      </c>
      <c r="P100" s="16" t="s">
        <v>3</v>
      </c>
    </row>
    <row r="101" spans="2:16" x14ac:dyDescent="0.25">
      <c r="B101" s="18" t="s">
        <v>1563</v>
      </c>
      <c r="C101" s="44" t="s">
        <v>3695</v>
      </c>
      <c r="D101" s="20" t="s">
        <v>2335</v>
      </c>
      <c r="E101" s="51" t="s">
        <v>3</v>
      </c>
      <c r="F101" s="11">
        <v>44026</v>
      </c>
      <c r="G101" s="5" t="s">
        <v>4397</v>
      </c>
      <c r="H101" s="2"/>
      <c r="I101" s="4">
        <v>4299190</v>
      </c>
      <c r="J101" s="4">
        <v>4300000</v>
      </c>
      <c r="K101" s="4">
        <v>0</v>
      </c>
      <c r="L101" s="2"/>
      <c r="M101" s="5" t="s">
        <v>3</v>
      </c>
      <c r="N101" s="5" t="s">
        <v>2335</v>
      </c>
      <c r="O101" s="5" t="s">
        <v>3</v>
      </c>
      <c r="P101" s="16" t="s">
        <v>3</v>
      </c>
    </row>
    <row r="102" spans="2:16" x14ac:dyDescent="0.25">
      <c r="B102" s="18" t="s">
        <v>2647</v>
      </c>
      <c r="C102" s="44" t="s">
        <v>428</v>
      </c>
      <c r="D102" s="20" t="s">
        <v>2335</v>
      </c>
      <c r="E102" s="51" t="s">
        <v>3</v>
      </c>
      <c r="F102" s="11">
        <v>44118</v>
      </c>
      <c r="G102" s="5" t="s">
        <v>4395</v>
      </c>
      <c r="H102" s="2"/>
      <c r="I102" s="4">
        <v>6748027</v>
      </c>
      <c r="J102" s="4">
        <v>6750000</v>
      </c>
      <c r="K102" s="4">
        <v>0</v>
      </c>
      <c r="L102" s="2"/>
      <c r="M102" s="5" t="s">
        <v>3</v>
      </c>
      <c r="N102" s="5" t="s">
        <v>2335</v>
      </c>
      <c r="O102" s="5" t="s">
        <v>3</v>
      </c>
      <c r="P102" s="16" t="s">
        <v>3</v>
      </c>
    </row>
    <row r="103" spans="2:16" x14ac:dyDescent="0.25">
      <c r="B103" s="18" t="s">
        <v>3766</v>
      </c>
      <c r="C103" s="44" t="s">
        <v>1853</v>
      </c>
      <c r="D103" s="20" t="s">
        <v>2335</v>
      </c>
      <c r="E103" s="51" t="s">
        <v>3</v>
      </c>
      <c r="F103" s="11">
        <v>44118</v>
      </c>
      <c r="G103" s="5" t="s">
        <v>4395</v>
      </c>
      <c r="H103" s="2"/>
      <c r="I103" s="4">
        <v>6998522</v>
      </c>
      <c r="J103" s="4">
        <v>7000000</v>
      </c>
      <c r="K103" s="4">
        <v>0</v>
      </c>
      <c r="L103" s="2"/>
      <c r="M103" s="5" t="s">
        <v>3</v>
      </c>
      <c r="N103" s="5" t="s">
        <v>2335</v>
      </c>
      <c r="O103" s="5" t="s">
        <v>3</v>
      </c>
      <c r="P103" s="16" t="s">
        <v>3</v>
      </c>
    </row>
    <row r="104" spans="2:16" x14ac:dyDescent="0.25">
      <c r="B104" s="18" t="s">
        <v>488</v>
      </c>
      <c r="C104" s="44" t="s">
        <v>55</v>
      </c>
      <c r="D104" s="20" t="s">
        <v>4119</v>
      </c>
      <c r="E104" s="51" t="s">
        <v>3</v>
      </c>
      <c r="F104" s="11">
        <v>44175</v>
      </c>
      <c r="G104" s="5" t="s">
        <v>4396</v>
      </c>
      <c r="H104" s="2"/>
      <c r="I104" s="4">
        <v>9403116</v>
      </c>
      <c r="J104" s="4">
        <v>9500000</v>
      </c>
      <c r="K104" s="4">
        <v>0</v>
      </c>
      <c r="L104" s="2"/>
      <c r="M104" s="5" t="s">
        <v>3</v>
      </c>
      <c r="N104" s="5" t="s">
        <v>3109</v>
      </c>
      <c r="O104" s="5" t="s">
        <v>3</v>
      </c>
      <c r="P104" s="16" t="s">
        <v>3</v>
      </c>
    </row>
    <row r="105" spans="2:16" x14ac:dyDescent="0.25">
      <c r="B105" s="18" t="s">
        <v>1564</v>
      </c>
      <c r="C105" s="44" t="s">
        <v>2587</v>
      </c>
      <c r="D105" s="20" t="s">
        <v>1854</v>
      </c>
      <c r="E105" s="51" t="s">
        <v>3</v>
      </c>
      <c r="F105" s="11">
        <v>44168</v>
      </c>
      <c r="G105" s="5" t="s">
        <v>198</v>
      </c>
      <c r="H105" s="2"/>
      <c r="I105" s="4">
        <v>7497629</v>
      </c>
      <c r="J105" s="4">
        <v>7500000</v>
      </c>
      <c r="K105" s="4">
        <v>0</v>
      </c>
      <c r="L105" s="2"/>
      <c r="M105" s="5" t="s">
        <v>3</v>
      </c>
      <c r="N105" s="5" t="s">
        <v>751</v>
      </c>
      <c r="O105" s="5" t="s">
        <v>751</v>
      </c>
      <c r="P105" s="16" t="s">
        <v>3</v>
      </c>
    </row>
    <row r="106" spans="2:16" x14ac:dyDescent="0.25">
      <c r="B106" s="18" t="s">
        <v>2648</v>
      </c>
      <c r="C106" s="44" t="s">
        <v>2588</v>
      </c>
      <c r="D106" s="20" t="s">
        <v>1854</v>
      </c>
      <c r="E106" s="51" t="s">
        <v>3</v>
      </c>
      <c r="F106" s="11">
        <v>44168</v>
      </c>
      <c r="G106" s="5" t="s">
        <v>198</v>
      </c>
      <c r="H106" s="2"/>
      <c r="I106" s="4">
        <v>2199886</v>
      </c>
      <c r="J106" s="4">
        <v>2200000</v>
      </c>
      <c r="K106" s="4">
        <v>0</v>
      </c>
      <c r="L106" s="2"/>
      <c r="M106" s="5" t="s">
        <v>3</v>
      </c>
      <c r="N106" s="5" t="s">
        <v>751</v>
      </c>
      <c r="O106" s="5" t="s">
        <v>751</v>
      </c>
      <c r="P106" s="16" t="s">
        <v>3</v>
      </c>
    </row>
    <row r="107" spans="2:16" x14ac:dyDescent="0.25">
      <c r="B107" s="18" t="s">
        <v>4120</v>
      </c>
      <c r="C107" s="44" t="s">
        <v>429</v>
      </c>
      <c r="D107" s="20" t="s">
        <v>1854</v>
      </c>
      <c r="E107" s="51" t="s">
        <v>3</v>
      </c>
      <c r="F107" s="11">
        <v>44168</v>
      </c>
      <c r="G107" s="5" t="s">
        <v>198</v>
      </c>
      <c r="H107" s="2"/>
      <c r="I107" s="4">
        <v>1499706</v>
      </c>
      <c r="J107" s="4">
        <v>1500000</v>
      </c>
      <c r="K107" s="4">
        <v>0</v>
      </c>
      <c r="L107" s="2"/>
      <c r="M107" s="5" t="s">
        <v>3</v>
      </c>
      <c r="N107" s="5" t="s">
        <v>751</v>
      </c>
      <c r="O107" s="5" t="s">
        <v>751</v>
      </c>
      <c r="P107" s="16" t="s">
        <v>3</v>
      </c>
    </row>
    <row r="108" spans="2:16" x14ac:dyDescent="0.25">
      <c r="B108" s="18" t="s">
        <v>811</v>
      </c>
      <c r="C108" s="44" t="s">
        <v>2256</v>
      </c>
      <c r="D108" s="20" t="s">
        <v>1304</v>
      </c>
      <c r="E108" s="51" t="s">
        <v>3</v>
      </c>
      <c r="F108" s="11">
        <v>43959</v>
      </c>
      <c r="G108" s="5" t="s">
        <v>4396</v>
      </c>
      <c r="H108" s="2"/>
      <c r="I108" s="4">
        <v>3967922</v>
      </c>
      <c r="J108" s="4">
        <v>4000000</v>
      </c>
      <c r="K108" s="4">
        <v>0</v>
      </c>
      <c r="L108" s="2"/>
      <c r="M108" s="5" t="s">
        <v>57</v>
      </c>
      <c r="N108" s="5" t="s">
        <v>2772</v>
      </c>
      <c r="O108" s="5" t="s">
        <v>3</v>
      </c>
      <c r="P108" s="16" t="s">
        <v>3</v>
      </c>
    </row>
    <row r="109" spans="2:16" x14ac:dyDescent="0.25">
      <c r="B109" s="18" t="s">
        <v>1912</v>
      </c>
      <c r="C109" s="44" t="s">
        <v>1493</v>
      </c>
      <c r="D109" s="20" t="s">
        <v>759</v>
      </c>
      <c r="E109" s="51" t="s">
        <v>3</v>
      </c>
      <c r="F109" s="11">
        <v>44132</v>
      </c>
      <c r="G109" s="5" t="s">
        <v>2994</v>
      </c>
      <c r="H109" s="2"/>
      <c r="I109" s="4">
        <v>1001875</v>
      </c>
      <c r="J109" s="4">
        <v>1000000</v>
      </c>
      <c r="K109" s="4">
        <v>517</v>
      </c>
      <c r="L109" s="2"/>
      <c r="M109" s="5" t="s">
        <v>3</v>
      </c>
      <c r="N109" s="5" t="s">
        <v>147</v>
      </c>
      <c r="O109" s="5" t="s">
        <v>928</v>
      </c>
      <c r="P109" s="16" t="s">
        <v>3</v>
      </c>
    </row>
    <row r="110" spans="2:16" x14ac:dyDescent="0.25">
      <c r="B110" s="18" t="s">
        <v>3767</v>
      </c>
      <c r="C110" s="44" t="s">
        <v>2257</v>
      </c>
      <c r="D110" s="20" t="s">
        <v>1191</v>
      </c>
      <c r="E110" s="51" t="s">
        <v>3</v>
      </c>
      <c r="F110" s="11">
        <v>44053</v>
      </c>
      <c r="G110" s="5" t="s">
        <v>4397</v>
      </c>
      <c r="H110" s="2"/>
      <c r="I110" s="4">
        <v>5000000</v>
      </c>
      <c r="J110" s="4">
        <v>5000000</v>
      </c>
      <c r="K110" s="4">
        <v>0</v>
      </c>
      <c r="L110" s="2"/>
      <c r="M110" s="5" t="s">
        <v>4247</v>
      </c>
      <c r="N110" s="5" t="s">
        <v>2028</v>
      </c>
      <c r="O110" s="5" t="s">
        <v>3890</v>
      </c>
      <c r="P110" s="16" t="s">
        <v>3</v>
      </c>
    </row>
    <row r="111" spans="2:16" x14ac:dyDescent="0.25">
      <c r="B111" s="18" t="s">
        <v>489</v>
      </c>
      <c r="C111" s="44" t="s">
        <v>951</v>
      </c>
      <c r="D111" s="20" t="s">
        <v>4399</v>
      </c>
      <c r="E111" s="51" t="s">
        <v>3</v>
      </c>
      <c r="F111" s="11">
        <v>43985</v>
      </c>
      <c r="G111" s="5" t="s">
        <v>1104</v>
      </c>
      <c r="H111" s="2"/>
      <c r="I111" s="4">
        <v>15518000</v>
      </c>
      <c r="J111" s="4">
        <v>15000000</v>
      </c>
      <c r="K111" s="4">
        <v>13300</v>
      </c>
      <c r="L111" s="2"/>
      <c r="M111" s="5" t="s">
        <v>1192</v>
      </c>
      <c r="N111" s="5" t="s">
        <v>58</v>
      </c>
      <c r="O111" s="5" t="s">
        <v>3</v>
      </c>
      <c r="P111" s="16" t="s">
        <v>3</v>
      </c>
    </row>
    <row r="112" spans="2:16" x14ac:dyDescent="0.25">
      <c r="B112" s="18" t="s">
        <v>1565</v>
      </c>
      <c r="C112" s="44" t="s">
        <v>2482</v>
      </c>
      <c r="D112" s="20" t="s">
        <v>4121</v>
      </c>
      <c r="E112" s="51" t="s">
        <v>3</v>
      </c>
      <c r="F112" s="11">
        <v>44133</v>
      </c>
      <c r="G112" s="5" t="s">
        <v>2994</v>
      </c>
      <c r="H112" s="2"/>
      <c r="I112" s="4">
        <v>5000000</v>
      </c>
      <c r="J112" s="4">
        <v>5000000</v>
      </c>
      <c r="K112" s="4">
        <v>0</v>
      </c>
      <c r="L112" s="2"/>
      <c r="M112" s="5" t="s">
        <v>1686</v>
      </c>
      <c r="N112" s="5" t="s">
        <v>3892</v>
      </c>
      <c r="O112" s="5" t="s">
        <v>3</v>
      </c>
      <c r="P112" s="16" t="s">
        <v>3</v>
      </c>
    </row>
    <row r="113" spans="2:16" x14ac:dyDescent="0.25">
      <c r="B113" s="18" t="s">
        <v>2649</v>
      </c>
      <c r="C113" s="44" t="s">
        <v>2483</v>
      </c>
      <c r="D113" s="20" t="s">
        <v>812</v>
      </c>
      <c r="E113" s="51" t="s">
        <v>3</v>
      </c>
      <c r="F113" s="11">
        <v>44133</v>
      </c>
      <c r="G113" s="5" t="s">
        <v>2994</v>
      </c>
      <c r="H113" s="2"/>
      <c r="I113" s="4">
        <v>5000000</v>
      </c>
      <c r="J113" s="4">
        <v>5000000</v>
      </c>
      <c r="K113" s="4">
        <v>0</v>
      </c>
      <c r="L113" s="2"/>
      <c r="M113" s="5" t="s">
        <v>1686</v>
      </c>
      <c r="N113" s="5" t="s">
        <v>3892</v>
      </c>
      <c r="O113" s="5" t="s">
        <v>3</v>
      </c>
      <c r="P113" s="16" t="s">
        <v>3</v>
      </c>
    </row>
    <row r="114" spans="2:16" x14ac:dyDescent="0.25">
      <c r="B114" s="18" t="s">
        <v>3768</v>
      </c>
      <c r="C114" s="44" t="s">
        <v>1193</v>
      </c>
      <c r="D114" s="20" t="s">
        <v>4122</v>
      </c>
      <c r="E114" s="51" t="s">
        <v>3</v>
      </c>
      <c r="F114" s="11">
        <v>44133</v>
      </c>
      <c r="G114" s="5" t="s">
        <v>2994</v>
      </c>
      <c r="H114" s="2"/>
      <c r="I114" s="4">
        <v>5000000</v>
      </c>
      <c r="J114" s="4">
        <v>5000000</v>
      </c>
      <c r="K114" s="4">
        <v>0</v>
      </c>
      <c r="L114" s="2"/>
      <c r="M114" s="5" t="s">
        <v>1686</v>
      </c>
      <c r="N114" s="5" t="s">
        <v>3892</v>
      </c>
      <c r="O114" s="5" t="s">
        <v>3</v>
      </c>
      <c r="P114" s="16" t="s">
        <v>3</v>
      </c>
    </row>
    <row r="115" spans="2:16" x14ac:dyDescent="0.25">
      <c r="B115" s="18" t="s">
        <v>813</v>
      </c>
      <c r="C115" s="44" t="s">
        <v>4248</v>
      </c>
      <c r="D115" s="20" t="s">
        <v>490</v>
      </c>
      <c r="E115" s="51" t="s">
        <v>3</v>
      </c>
      <c r="F115" s="11">
        <v>43873</v>
      </c>
      <c r="G115" s="5" t="s">
        <v>2994</v>
      </c>
      <c r="H115" s="2"/>
      <c r="I115" s="4">
        <v>7266420</v>
      </c>
      <c r="J115" s="4">
        <v>7000000</v>
      </c>
      <c r="K115" s="4">
        <v>70525</v>
      </c>
      <c r="L115" s="2"/>
      <c r="M115" s="5" t="s">
        <v>59</v>
      </c>
      <c r="N115" s="5" t="s">
        <v>2029</v>
      </c>
      <c r="O115" s="5" t="s">
        <v>3</v>
      </c>
      <c r="P115" s="16" t="s">
        <v>3</v>
      </c>
    </row>
    <row r="116" spans="2:16" x14ac:dyDescent="0.25">
      <c r="B116" s="18" t="s">
        <v>1913</v>
      </c>
      <c r="C116" s="44" t="s">
        <v>3111</v>
      </c>
      <c r="D116" s="20" t="s">
        <v>4400</v>
      </c>
      <c r="E116" s="51" t="s">
        <v>3</v>
      </c>
      <c r="F116" s="11">
        <v>43873</v>
      </c>
      <c r="G116" s="5" t="s">
        <v>2994</v>
      </c>
      <c r="H116" s="2"/>
      <c r="I116" s="4">
        <v>5254100</v>
      </c>
      <c r="J116" s="4">
        <v>5000000</v>
      </c>
      <c r="K116" s="4">
        <v>53073</v>
      </c>
      <c r="L116" s="2"/>
      <c r="M116" s="5" t="s">
        <v>1194</v>
      </c>
      <c r="N116" s="5" t="s">
        <v>955</v>
      </c>
      <c r="O116" s="5" t="s">
        <v>3</v>
      </c>
      <c r="P116" s="16" t="s">
        <v>3</v>
      </c>
    </row>
    <row r="117" spans="2:16" x14ac:dyDescent="0.25">
      <c r="B117" s="18" t="s">
        <v>2997</v>
      </c>
      <c r="C117" s="44" t="s">
        <v>761</v>
      </c>
      <c r="D117" s="20" t="s">
        <v>3446</v>
      </c>
      <c r="E117" s="51" t="s">
        <v>3</v>
      </c>
      <c r="F117" s="11">
        <v>44103</v>
      </c>
      <c r="G117" s="5" t="s">
        <v>4397</v>
      </c>
      <c r="H117" s="2"/>
      <c r="I117" s="4">
        <v>13048750</v>
      </c>
      <c r="J117" s="4">
        <v>13000000</v>
      </c>
      <c r="K117" s="4">
        <v>4165</v>
      </c>
      <c r="L117" s="2"/>
      <c r="M117" s="5" t="s">
        <v>3</v>
      </c>
      <c r="N117" s="5" t="s">
        <v>2336</v>
      </c>
      <c r="O117" s="5" t="s">
        <v>2336</v>
      </c>
      <c r="P117" s="16" t="s">
        <v>3</v>
      </c>
    </row>
    <row r="118" spans="2:16" x14ac:dyDescent="0.25">
      <c r="B118" s="18" t="s">
        <v>4123</v>
      </c>
      <c r="C118" s="44" t="s">
        <v>1494</v>
      </c>
      <c r="D118" s="20" t="s">
        <v>4358</v>
      </c>
      <c r="E118" s="51" t="s">
        <v>3</v>
      </c>
      <c r="F118" s="11">
        <v>44103</v>
      </c>
      <c r="G118" s="5" t="s">
        <v>4397</v>
      </c>
      <c r="H118" s="2"/>
      <c r="I118" s="4">
        <v>12026250</v>
      </c>
      <c r="J118" s="4">
        <v>12000000</v>
      </c>
      <c r="K118" s="4">
        <v>1459</v>
      </c>
      <c r="L118" s="2"/>
      <c r="M118" s="5" t="s">
        <v>3</v>
      </c>
      <c r="N118" s="5" t="s">
        <v>2336</v>
      </c>
      <c r="O118" s="5" t="s">
        <v>3225</v>
      </c>
      <c r="P118" s="16" t="s">
        <v>3</v>
      </c>
    </row>
    <row r="119" spans="2:16" x14ac:dyDescent="0.25">
      <c r="B119" s="18" t="s">
        <v>814</v>
      </c>
      <c r="C119" s="44" t="s">
        <v>3112</v>
      </c>
      <c r="D119" s="20" t="s">
        <v>2776</v>
      </c>
      <c r="E119" s="51" t="s">
        <v>3</v>
      </c>
      <c r="F119" s="11">
        <v>43985</v>
      </c>
      <c r="G119" s="5" t="s">
        <v>1557</v>
      </c>
      <c r="H119" s="2"/>
      <c r="I119" s="4">
        <v>5737215</v>
      </c>
      <c r="J119" s="4">
        <v>5500000</v>
      </c>
      <c r="K119" s="4">
        <v>55733</v>
      </c>
      <c r="L119" s="2"/>
      <c r="M119" s="5" t="s">
        <v>600</v>
      </c>
      <c r="N119" s="5" t="s">
        <v>2258</v>
      </c>
      <c r="O119" s="5" t="s">
        <v>1693</v>
      </c>
      <c r="P119" s="16" t="s">
        <v>3</v>
      </c>
    </row>
    <row r="120" spans="2:16" x14ac:dyDescent="0.25">
      <c r="B120" s="18" t="s">
        <v>2650</v>
      </c>
      <c r="C120" s="44" t="s">
        <v>2031</v>
      </c>
      <c r="D120" s="20" t="s">
        <v>815</v>
      </c>
      <c r="E120" s="51" t="s">
        <v>3</v>
      </c>
      <c r="F120" s="11">
        <v>43910</v>
      </c>
      <c r="G120" s="5" t="s">
        <v>1293</v>
      </c>
      <c r="H120" s="2"/>
      <c r="I120" s="4">
        <v>4496265</v>
      </c>
      <c r="J120" s="4">
        <v>4500000</v>
      </c>
      <c r="K120" s="4">
        <v>0</v>
      </c>
      <c r="L120" s="2"/>
      <c r="M120" s="5" t="s">
        <v>310</v>
      </c>
      <c r="N120" s="5" t="s">
        <v>2486</v>
      </c>
      <c r="O120" s="5" t="s">
        <v>3</v>
      </c>
      <c r="P120" s="16" t="s">
        <v>3</v>
      </c>
    </row>
    <row r="121" spans="2:16" x14ac:dyDescent="0.25">
      <c r="B121" s="18" t="s">
        <v>3769</v>
      </c>
      <c r="C121" s="44" t="s">
        <v>3351</v>
      </c>
      <c r="D121" s="20" t="s">
        <v>60</v>
      </c>
      <c r="E121" s="51" t="s">
        <v>3</v>
      </c>
      <c r="F121" s="11">
        <v>43985</v>
      </c>
      <c r="G121" s="5" t="s">
        <v>1557</v>
      </c>
      <c r="H121" s="2"/>
      <c r="I121" s="4">
        <v>10733200</v>
      </c>
      <c r="J121" s="4">
        <v>10000000</v>
      </c>
      <c r="K121" s="4">
        <v>19861</v>
      </c>
      <c r="L121" s="2"/>
      <c r="M121" s="5" t="s">
        <v>3</v>
      </c>
      <c r="N121" s="5" t="s">
        <v>3895</v>
      </c>
      <c r="O121" s="5" t="s">
        <v>928</v>
      </c>
      <c r="P121" s="16" t="s">
        <v>3</v>
      </c>
    </row>
    <row r="122" spans="2:16" x14ac:dyDescent="0.25">
      <c r="B122" s="18" t="s">
        <v>491</v>
      </c>
      <c r="C122" s="44" t="s">
        <v>4249</v>
      </c>
      <c r="D122" s="20" t="s">
        <v>4124</v>
      </c>
      <c r="E122" s="51" t="s">
        <v>3</v>
      </c>
      <c r="F122" s="11">
        <v>43985</v>
      </c>
      <c r="G122" s="5" t="s">
        <v>1557</v>
      </c>
      <c r="H122" s="2"/>
      <c r="I122" s="4">
        <v>5313850</v>
      </c>
      <c r="J122" s="4">
        <v>5000000</v>
      </c>
      <c r="K122" s="4">
        <v>45694</v>
      </c>
      <c r="L122" s="2"/>
      <c r="M122" s="5" t="s">
        <v>2259</v>
      </c>
      <c r="N122" s="5" t="s">
        <v>1696</v>
      </c>
      <c r="O122" s="5" t="s">
        <v>3</v>
      </c>
      <c r="P122" s="16" t="s">
        <v>3</v>
      </c>
    </row>
    <row r="123" spans="2:16" x14ac:dyDescent="0.25">
      <c r="B123" s="18" t="s">
        <v>1566</v>
      </c>
      <c r="C123" s="44" t="s">
        <v>3585</v>
      </c>
      <c r="D123" s="20" t="s">
        <v>1567</v>
      </c>
      <c r="E123" s="51" t="s">
        <v>3</v>
      </c>
      <c r="F123" s="11">
        <v>43914</v>
      </c>
      <c r="G123" s="5" t="s">
        <v>4394</v>
      </c>
      <c r="H123" s="2"/>
      <c r="I123" s="4">
        <v>1495995</v>
      </c>
      <c r="J123" s="4">
        <v>1500000</v>
      </c>
      <c r="K123" s="4">
        <v>0</v>
      </c>
      <c r="L123" s="2"/>
      <c r="M123" s="5" t="s">
        <v>2259</v>
      </c>
      <c r="N123" s="5" t="s">
        <v>1696</v>
      </c>
      <c r="O123" s="5" t="s">
        <v>3</v>
      </c>
      <c r="P123" s="16" t="s">
        <v>3</v>
      </c>
    </row>
    <row r="124" spans="2:16" x14ac:dyDescent="0.25">
      <c r="B124" s="18" t="s">
        <v>2998</v>
      </c>
      <c r="C124" s="44" t="s">
        <v>62</v>
      </c>
      <c r="D124" s="20" t="s">
        <v>3352</v>
      </c>
      <c r="E124" s="51" t="s">
        <v>3</v>
      </c>
      <c r="F124" s="11">
        <v>44096</v>
      </c>
      <c r="G124" s="5" t="s">
        <v>492</v>
      </c>
      <c r="H124" s="2"/>
      <c r="I124" s="4">
        <v>4000000</v>
      </c>
      <c r="J124" s="4">
        <v>4000000</v>
      </c>
      <c r="K124" s="4">
        <v>0</v>
      </c>
      <c r="L124" s="2"/>
      <c r="M124" s="5" t="s">
        <v>2261</v>
      </c>
      <c r="N124" s="5" t="s">
        <v>3353</v>
      </c>
      <c r="O124" s="5" t="s">
        <v>3354</v>
      </c>
      <c r="P124" s="16" t="s">
        <v>3</v>
      </c>
    </row>
    <row r="125" spans="2:16" x14ac:dyDescent="0.25">
      <c r="B125" s="18" t="s">
        <v>4125</v>
      </c>
      <c r="C125" s="44" t="s">
        <v>2262</v>
      </c>
      <c r="D125" s="20" t="s">
        <v>2489</v>
      </c>
      <c r="E125" s="51" t="s">
        <v>3</v>
      </c>
      <c r="F125" s="11">
        <v>44055</v>
      </c>
      <c r="G125" s="5" t="s">
        <v>198</v>
      </c>
      <c r="H125" s="2"/>
      <c r="I125" s="4">
        <v>960000</v>
      </c>
      <c r="J125" s="4">
        <v>1000000</v>
      </c>
      <c r="K125" s="4">
        <v>3524</v>
      </c>
      <c r="L125" s="2"/>
      <c r="M125" s="5" t="s">
        <v>1698</v>
      </c>
      <c r="N125" s="5" t="s">
        <v>2489</v>
      </c>
      <c r="O125" s="5" t="s">
        <v>3</v>
      </c>
      <c r="P125" s="16" t="s">
        <v>3</v>
      </c>
    </row>
    <row r="126" spans="2:16" x14ac:dyDescent="0.25">
      <c r="B126" s="18" t="s">
        <v>816</v>
      </c>
      <c r="C126" s="44" t="s">
        <v>3356</v>
      </c>
      <c r="D126" s="20" t="s">
        <v>4126</v>
      </c>
      <c r="E126" s="51" t="s">
        <v>3</v>
      </c>
      <c r="F126" s="11">
        <v>43935</v>
      </c>
      <c r="G126" s="5" t="s">
        <v>191</v>
      </c>
      <c r="H126" s="2"/>
      <c r="I126" s="4">
        <v>2996520</v>
      </c>
      <c r="J126" s="4">
        <v>3000000</v>
      </c>
      <c r="K126" s="4">
        <v>0</v>
      </c>
      <c r="L126" s="2"/>
      <c r="M126" s="5" t="s">
        <v>2035</v>
      </c>
      <c r="N126" s="5" t="s">
        <v>2263</v>
      </c>
      <c r="O126" s="5" t="s">
        <v>3</v>
      </c>
      <c r="P126" s="16" t="s">
        <v>3</v>
      </c>
    </row>
    <row r="127" spans="2:16" x14ac:dyDescent="0.25">
      <c r="B127" s="18" t="s">
        <v>1914</v>
      </c>
      <c r="C127" s="44" t="s">
        <v>608</v>
      </c>
      <c r="D127" s="20" t="s">
        <v>958</v>
      </c>
      <c r="E127" s="51" t="s">
        <v>3</v>
      </c>
      <c r="F127" s="11">
        <v>44047</v>
      </c>
      <c r="G127" s="5" t="s">
        <v>1293</v>
      </c>
      <c r="H127" s="2"/>
      <c r="I127" s="4">
        <v>5360100</v>
      </c>
      <c r="J127" s="4">
        <v>5000000</v>
      </c>
      <c r="K127" s="4">
        <v>73625</v>
      </c>
      <c r="L127" s="2"/>
      <c r="M127" s="5" t="s">
        <v>2783</v>
      </c>
      <c r="N127" s="5" t="s">
        <v>316</v>
      </c>
      <c r="O127" s="5" t="s">
        <v>928</v>
      </c>
      <c r="P127" s="16" t="s">
        <v>3</v>
      </c>
    </row>
    <row r="128" spans="2:16" x14ac:dyDescent="0.25">
      <c r="B128" s="18" t="s">
        <v>2999</v>
      </c>
      <c r="C128" s="44" t="s">
        <v>765</v>
      </c>
      <c r="D128" s="20" t="s">
        <v>2337</v>
      </c>
      <c r="E128" s="51" t="s">
        <v>3</v>
      </c>
      <c r="F128" s="11">
        <v>44089</v>
      </c>
      <c r="G128" s="5" t="s">
        <v>4395</v>
      </c>
      <c r="H128" s="2"/>
      <c r="I128" s="4">
        <v>5248833</v>
      </c>
      <c r="J128" s="4">
        <v>5250000</v>
      </c>
      <c r="K128" s="4">
        <v>0</v>
      </c>
      <c r="L128" s="2"/>
      <c r="M128" s="5" t="s">
        <v>3</v>
      </c>
      <c r="N128" s="5" t="s">
        <v>1261</v>
      </c>
      <c r="O128" s="5" t="s">
        <v>928</v>
      </c>
      <c r="P128" s="16" t="s">
        <v>3</v>
      </c>
    </row>
    <row r="129" spans="2:16" x14ac:dyDescent="0.25">
      <c r="B129" s="18" t="s">
        <v>4127</v>
      </c>
      <c r="C129" s="44" t="s">
        <v>766</v>
      </c>
      <c r="D129" s="20" t="s">
        <v>2944</v>
      </c>
      <c r="E129" s="51" t="s">
        <v>3</v>
      </c>
      <c r="F129" s="11">
        <v>44089</v>
      </c>
      <c r="G129" s="5" t="s">
        <v>4395</v>
      </c>
      <c r="H129" s="2"/>
      <c r="I129" s="4">
        <v>3999348</v>
      </c>
      <c r="J129" s="4">
        <v>4000000</v>
      </c>
      <c r="K129" s="4">
        <v>0</v>
      </c>
      <c r="L129" s="2"/>
      <c r="M129" s="5" t="s">
        <v>3</v>
      </c>
      <c r="N129" s="5" t="s">
        <v>1261</v>
      </c>
      <c r="O129" s="5" t="s">
        <v>1261</v>
      </c>
      <c r="P129" s="16" t="s">
        <v>3</v>
      </c>
    </row>
    <row r="130" spans="2:16" x14ac:dyDescent="0.25">
      <c r="B130" s="18" t="s">
        <v>1568</v>
      </c>
      <c r="C130" s="44" t="s">
        <v>1707</v>
      </c>
      <c r="D130" s="20" t="s">
        <v>1708</v>
      </c>
      <c r="E130" s="51" t="s">
        <v>3</v>
      </c>
      <c r="F130" s="11">
        <v>43873</v>
      </c>
      <c r="G130" s="5" t="s">
        <v>2994</v>
      </c>
      <c r="H130" s="2"/>
      <c r="I130" s="4">
        <v>5107900</v>
      </c>
      <c r="J130" s="4">
        <v>5000000</v>
      </c>
      <c r="K130" s="4">
        <v>32951</v>
      </c>
      <c r="L130" s="2"/>
      <c r="M130" s="5" t="s">
        <v>959</v>
      </c>
      <c r="N130" s="5" t="s">
        <v>1708</v>
      </c>
      <c r="O130" s="5" t="s">
        <v>3</v>
      </c>
      <c r="P130" s="16" t="s">
        <v>3</v>
      </c>
    </row>
    <row r="131" spans="2:16" x14ac:dyDescent="0.25">
      <c r="B131" s="18" t="s">
        <v>2651</v>
      </c>
      <c r="C131" s="44" t="s">
        <v>2142</v>
      </c>
      <c r="D131" s="20" t="s">
        <v>3448</v>
      </c>
      <c r="E131" s="51" t="s">
        <v>3</v>
      </c>
      <c r="F131" s="11">
        <v>44103</v>
      </c>
      <c r="G131" s="5" t="s">
        <v>191</v>
      </c>
      <c r="H131" s="2"/>
      <c r="I131" s="4">
        <v>25046875</v>
      </c>
      <c r="J131" s="4">
        <v>25000000</v>
      </c>
      <c r="K131" s="4">
        <v>5025</v>
      </c>
      <c r="L131" s="2"/>
      <c r="M131" s="5" t="s">
        <v>3</v>
      </c>
      <c r="N131" s="5" t="s">
        <v>150</v>
      </c>
      <c r="O131" s="5" t="s">
        <v>150</v>
      </c>
      <c r="P131" s="16" t="s">
        <v>3</v>
      </c>
    </row>
    <row r="132" spans="2:16" x14ac:dyDescent="0.25">
      <c r="B132" s="18" t="s">
        <v>4128</v>
      </c>
      <c r="C132" s="44" t="s">
        <v>1496</v>
      </c>
      <c r="D132" s="20" t="s">
        <v>1497</v>
      </c>
      <c r="E132" s="51" t="s">
        <v>3</v>
      </c>
      <c r="F132" s="11">
        <v>44011</v>
      </c>
      <c r="G132" s="5" t="s">
        <v>4397</v>
      </c>
      <c r="H132" s="2"/>
      <c r="I132" s="4">
        <v>2860643</v>
      </c>
      <c r="J132" s="4">
        <v>2842875</v>
      </c>
      <c r="K132" s="4">
        <v>0</v>
      </c>
      <c r="L132" s="2"/>
      <c r="M132" s="5" t="s">
        <v>3</v>
      </c>
      <c r="N132" s="5" t="s">
        <v>2592</v>
      </c>
      <c r="O132" s="5" t="s">
        <v>928</v>
      </c>
      <c r="P132" s="16" t="s">
        <v>3</v>
      </c>
    </row>
    <row r="133" spans="2:16" x14ac:dyDescent="0.25">
      <c r="B133" s="18" t="s">
        <v>817</v>
      </c>
      <c r="C133" s="44" t="s">
        <v>1262</v>
      </c>
      <c r="D133" s="20" t="s">
        <v>1497</v>
      </c>
      <c r="E133" s="51" t="s">
        <v>3</v>
      </c>
      <c r="F133" s="11">
        <v>44133</v>
      </c>
      <c r="G133" s="5" t="s">
        <v>4397</v>
      </c>
      <c r="H133" s="2"/>
      <c r="I133" s="4">
        <v>2500000</v>
      </c>
      <c r="J133" s="4">
        <v>2500000</v>
      </c>
      <c r="K133" s="4">
        <v>0</v>
      </c>
      <c r="L133" s="2"/>
      <c r="M133" s="5" t="s">
        <v>3</v>
      </c>
      <c r="N133" s="5" t="s">
        <v>2592</v>
      </c>
      <c r="O133" s="5" t="s">
        <v>928</v>
      </c>
      <c r="P133" s="16" t="s">
        <v>3</v>
      </c>
    </row>
    <row r="134" spans="2:16" x14ac:dyDescent="0.25">
      <c r="B134" s="18" t="s">
        <v>1915</v>
      </c>
      <c r="C134" s="44" t="s">
        <v>1715</v>
      </c>
      <c r="D134" s="20" t="s">
        <v>1389</v>
      </c>
      <c r="E134" s="51" t="s">
        <v>3</v>
      </c>
      <c r="F134" s="11">
        <v>43987</v>
      </c>
      <c r="G134" s="5" t="s">
        <v>1104</v>
      </c>
      <c r="H134" s="2"/>
      <c r="I134" s="4">
        <v>10063344</v>
      </c>
      <c r="J134" s="4">
        <v>10065000</v>
      </c>
      <c r="K134" s="4">
        <v>0</v>
      </c>
      <c r="L134" s="2"/>
      <c r="M134" s="5" t="s">
        <v>1390</v>
      </c>
      <c r="N134" s="5" t="s">
        <v>2264</v>
      </c>
      <c r="O134" s="5" t="s">
        <v>928</v>
      </c>
      <c r="P134" s="16" t="s">
        <v>3</v>
      </c>
    </row>
    <row r="135" spans="2:16" x14ac:dyDescent="0.25">
      <c r="B135" s="18" t="s">
        <v>3000</v>
      </c>
      <c r="C135" s="44" t="s">
        <v>3596</v>
      </c>
      <c r="D135" s="20" t="s">
        <v>4401</v>
      </c>
      <c r="E135" s="51" t="s">
        <v>3</v>
      </c>
      <c r="F135" s="11">
        <v>43985</v>
      </c>
      <c r="G135" s="5" t="s">
        <v>1104</v>
      </c>
      <c r="H135" s="2"/>
      <c r="I135" s="4">
        <v>13258400</v>
      </c>
      <c r="J135" s="4">
        <v>13000000</v>
      </c>
      <c r="K135" s="4">
        <v>18000</v>
      </c>
      <c r="L135" s="2"/>
      <c r="M135" s="5" t="s">
        <v>2039</v>
      </c>
      <c r="N135" s="5" t="s">
        <v>1392</v>
      </c>
      <c r="O135" s="5" t="s">
        <v>3</v>
      </c>
      <c r="P135" s="16" t="s">
        <v>3</v>
      </c>
    </row>
    <row r="136" spans="2:16" x14ac:dyDescent="0.25">
      <c r="B136" s="18" t="s">
        <v>4129</v>
      </c>
      <c r="C136" s="44" t="s">
        <v>966</v>
      </c>
      <c r="D136" s="20" t="s">
        <v>2791</v>
      </c>
      <c r="E136" s="51" t="s">
        <v>3</v>
      </c>
      <c r="F136" s="11">
        <v>43873</v>
      </c>
      <c r="G136" s="5" t="s">
        <v>1104</v>
      </c>
      <c r="H136" s="2"/>
      <c r="I136" s="4">
        <v>8026500</v>
      </c>
      <c r="J136" s="4">
        <v>8000000</v>
      </c>
      <c r="K136" s="4">
        <v>6283</v>
      </c>
      <c r="L136" s="2"/>
      <c r="M136" s="5" t="s">
        <v>3911</v>
      </c>
      <c r="N136" s="5" t="s">
        <v>2791</v>
      </c>
      <c r="O136" s="5" t="s">
        <v>3</v>
      </c>
      <c r="P136" s="16" t="s">
        <v>3</v>
      </c>
    </row>
    <row r="137" spans="2:16" x14ac:dyDescent="0.25">
      <c r="B137" s="18" t="s">
        <v>818</v>
      </c>
      <c r="C137" s="44" t="s">
        <v>4360</v>
      </c>
      <c r="D137" s="20" t="s">
        <v>153</v>
      </c>
      <c r="E137" s="51" t="s">
        <v>3</v>
      </c>
      <c r="F137" s="11">
        <v>43872</v>
      </c>
      <c r="G137" s="5" t="s">
        <v>4395</v>
      </c>
      <c r="H137" s="2"/>
      <c r="I137" s="4">
        <v>3999183</v>
      </c>
      <c r="J137" s="4">
        <v>4000000</v>
      </c>
      <c r="K137" s="4">
        <v>0</v>
      </c>
      <c r="L137" s="2"/>
      <c r="M137" s="5" t="s">
        <v>3</v>
      </c>
      <c r="N137" s="5" t="s">
        <v>2340</v>
      </c>
      <c r="O137" s="5" t="s">
        <v>928</v>
      </c>
      <c r="P137" s="16" t="s">
        <v>3</v>
      </c>
    </row>
    <row r="138" spans="2:16" x14ac:dyDescent="0.25">
      <c r="B138" s="18" t="s">
        <v>1916</v>
      </c>
      <c r="C138" s="44" t="s">
        <v>2495</v>
      </c>
      <c r="D138" s="20" t="s">
        <v>3487</v>
      </c>
      <c r="E138" s="51" t="s">
        <v>3</v>
      </c>
      <c r="F138" s="11">
        <v>44167</v>
      </c>
      <c r="G138" s="5" t="s">
        <v>191</v>
      </c>
      <c r="H138" s="2"/>
      <c r="I138" s="4">
        <v>8774101</v>
      </c>
      <c r="J138" s="4">
        <v>8525000</v>
      </c>
      <c r="K138" s="4">
        <v>69053</v>
      </c>
      <c r="L138" s="2"/>
      <c r="M138" s="5" t="s">
        <v>3</v>
      </c>
      <c r="N138" s="5" t="s">
        <v>2793</v>
      </c>
      <c r="O138" s="5" t="s">
        <v>3</v>
      </c>
      <c r="P138" s="16" t="s">
        <v>3</v>
      </c>
    </row>
    <row r="139" spans="2:16" x14ac:dyDescent="0.25">
      <c r="B139" s="18" t="s">
        <v>3001</v>
      </c>
      <c r="C139" s="44" t="s">
        <v>2794</v>
      </c>
      <c r="D139" s="20" t="s">
        <v>2795</v>
      </c>
      <c r="E139" s="51" t="s">
        <v>3</v>
      </c>
      <c r="F139" s="11">
        <v>44011</v>
      </c>
      <c r="G139" s="5" t="s">
        <v>2994</v>
      </c>
      <c r="H139" s="2"/>
      <c r="I139" s="4">
        <v>6987190</v>
      </c>
      <c r="J139" s="4">
        <v>7000000</v>
      </c>
      <c r="K139" s="4">
        <v>0</v>
      </c>
      <c r="L139" s="2"/>
      <c r="M139" s="5" t="s">
        <v>320</v>
      </c>
      <c r="N139" s="5" t="s">
        <v>2266</v>
      </c>
      <c r="O139" s="5" t="s">
        <v>928</v>
      </c>
      <c r="P139" s="16" t="s">
        <v>3</v>
      </c>
    </row>
    <row r="140" spans="2:16" x14ac:dyDescent="0.25">
      <c r="B140" s="18" t="s">
        <v>493</v>
      </c>
      <c r="C140" s="44" t="s">
        <v>3601</v>
      </c>
      <c r="D140" s="20" t="s">
        <v>3263</v>
      </c>
      <c r="E140" s="51" t="s">
        <v>3</v>
      </c>
      <c r="F140" s="11">
        <v>43951</v>
      </c>
      <c r="G140" s="5" t="s">
        <v>999</v>
      </c>
      <c r="H140" s="2"/>
      <c r="I140" s="4">
        <v>4990150</v>
      </c>
      <c r="J140" s="4">
        <v>5000000</v>
      </c>
      <c r="K140" s="4">
        <v>0</v>
      </c>
      <c r="L140" s="2"/>
      <c r="M140" s="5" t="s">
        <v>1393</v>
      </c>
      <c r="N140" s="5" t="s">
        <v>3913</v>
      </c>
      <c r="O140" s="5" t="s">
        <v>3</v>
      </c>
      <c r="P140" s="16" t="s">
        <v>3</v>
      </c>
    </row>
    <row r="141" spans="2:16" x14ac:dyDescent="0.25">
      <c r="B141" s="18" t="s">
        <v>1917</v>
      </c>
      <c r="C141" s="44" t="s">
        <v>1720</v>
      </c>
      <c r="D141" s="20" t="s">
        <v>3264</v>
      </c>
      <c r="E141" s="51" t="s">
        <v>3</v>
      </c>
      <c r="F141" s="11">
        <v>43858</v>
      </c>
      <c r="G141" s="5" t="s">
        <v>999</v>
      </c>
      <c r="H141" s="2"/>
      <c r="I141" s="4">
        <v>4996450</v>
      </c>
      <c r="J141" s="4">
        <v>5000000</v>
      </c>
      <c r="K141" s="4">
        <v>0</v>
      </c>
      <c r="L141" s="2"/>
      <c r="M141" s="5" t="s">
        <v>3122</v>
      </c>
      <c r="N141" s="5" t="s">
        <v>3124</v>
      </c>
      <c r="O141" s="5" t="s">
        <v>3</v>
      </c>
      <c r="P141" s="16" t="s">
        <v>3</v>
      </c>
    </row>
    <row r="142" spans="2:16" x14ac:dyDescent="0.25">
      <c r="B142" s="18" t="s">
        <v>3002</v>
      </c>
      <c r="C142" s="44" t="s">
        <v>3125</v>
      </c>
      <c r="D142" s="20" t="s">
        <v>70</v>
      </c>
      <c r="E142" s="51" t="s">
        <v>3</v>
      </c>
      <c r="F142" s="11">
        <v>44055</v>
      </c>
      <c r="G142" s="5" t="s">
        <v>2995</v>
      </c>
      <c r="H142" s="2"/>
      <c r="I142" s="4">
        <v>2000000</v>
      </c>
      <c r="J142" s="4">
        <v>2000000</v>
      </c>
      <c r="K142" s="4">
        <v>0</v>
      </c>
      <c r="L142" s="2"/>
      <c r="M142" s="5" t="s">
        <v>1721</v>
      </c>
      <c r="N142" s="5" t="s">
        <v>2497</v>
      </c>
      <c r="O142" s="5" t="s">
        <v>928</v>
      </c>
      <c r="P142" s="16" t="s">
        <v>3</v>
      </c>
    </row>
    <row r="143" spans="2:16" x14ac:dyDescent="0.25">
      <c r="B143" s="18" t="s">
        <v>4130</v>
      </c>
      <c r="C143" s="44" t="s">
        <v>2798</v>
      </c>
      <c r="D143" s="20" t="s">
        <v>200</v>
      </c>
      <c r="E143" s="51" t="s">
        <v>3</v>
      </c>
      <c r="F143" s="11">
        <v>43962</v>
      </c>
      <c r="G143" s="5" t="s">
        <v>4394</v>
      </c>
      <c r="H143" s="2"/>
      <c r="I143" s="4">
        <v>3997360</v>
      </c>
      <c r="J143" s="4">
        <v>4000000</v>
      </c>
      <c r="K143" s="4">
        <v>0</v>
      </c>
      <c r="L143" s="2"/>
      <c r="M143" s="5" t="s">
        <v>3127</v>
      </c>
      <c r="N143" s="5" t="s">
        <v>321</v>
      </c>
      <c r="O143" s="5" t="s">
        <v>3</v>
      </c>
      <c r="P143" s="16" t="s">
        <v>3</v>
      </c>
    </row>
    <row r="144" spans="2:16" x14ac:dyDescent="0.25">
      <c r="B144" s="18" t="s">
        <v>819</v>
      </c>
      <c r="C144" s="44" t="s">
        <v>2802</v>
      </c>
      <c r="D144" s="20" t="s">
        <v>3364</v>
      </c>
      <c r="E144" s="51" t="s">
        <v>3</v>
      </c>
      <c r="F144" s="11">
        <v>44145</v>
      </c>
      <c r="G144" s="5" t="s">
        <v>1104</v>
      </c>
      <c r="H144" s="2"/>
      <c r="I144" s="4">
        <v>15044520</v>
      </c>
      <c r="J144" s="4">
        <v>15000000</v>
      </c>
      <c r="K144" s="4">
        <v>14850</v>
      </c>
      <c r="L144" s="2"/>
      <c r="M144" s="5" t="s">
        <v>3</v>
      </c>
      <c r="N144" s="5" t="s">
        <v>971</v>
      </c>
      <c r="O144" s="5" t="s">
        <v>971</v>
      </c>
      <c r="P144" s="16" t="s">
        <v>3</v>
      </c>
    </row>
    <row r="145" spans="2:16" x14ac:dyDescent="0.25">
      <c r="B145" s="18" t="s">
        <v>1918</v>
      </c>
      <c r="C145" s="44" t="s">
        <v>3915</v>
      </c>
      <c r="D145" s="20" t="s">
        <v>3364</v>
      </c>
      <c r="E145" s="51" t="s">
        <v>3</v>
      </c>
      <c r="F145" s="11">
        <v>44106</v>
      </c>
      <c r="G145" s="5" t="s">
        <v>191</v>
      </c>
      <c r="H145" s="2"/>
      <c r="I145" s="4">
        <v>4000000</v>
      </c>
      <c r="J145" s="4">
        <v>4000000</v>
      </c>
      <c r="K145" s="4">
        <v>0</v>
      </c>
      <c r="L145" s="2"/>
      <c r="M145" s="5" t="s">
        <v>3</v>
      </c>
      <c r="N145" s="5" t="s">
        <v>971</v>
      </c>
      <c r="O145" s="5" t="s">
        <v>971</v>
      </c>
      <c r="P145" s="16" t="s">
        <v>3</v>
      </c>
    </row>
    <row r="146" spans="2:16" x14ac:dyDescent="0.25">
      <c r="B146" s="18" t="s">
        <v>3003</v>
      </c>
      <c r="C146" s="44" t="s">
        <v>3451</v>
      </c>
      <c r="D146" s="20" t="s">
        <v>3701</v>
      </c>
      <c r="E146" s="51" t="s">
        <v>3</v>
      </c>
      <c r="F146" s="11">
        <v>44110</v>
      </c>
      <c r="G146" s="5" t="s">
        <v>4395</v>
      </c>
      <c r="H146" s="2"/>
      <c r="I146" s="4">
        <v>5998058</v>
      </c>
      <c r="J146" s="4">
        <v>6000000</v>
      </c>
      <c r="K146" s="4">
        <v>0</v>
      </c>
      <c r="L146" s="2"/>
      <c r="M146" s="5" t="s">
        <v>3</v>
      </c>
      <c r="N146" s="5" t="s">
        <v>3228</v>
      </c>
      <c r="O146" s="5" t="s">
        <v>928</v>
      </c>
      <c r="P146" s="16" t="s">
        <v>3</v>
      </c>
    </row>
    <row r="147" spans="2:16" x14ac:dyDescent="0.25">
      <c r="B147" s="18" t="s">
        <v>4131</v>
      </c>
      <c r="C147" s="44" t="s">
        <v>3452</v>
      </c>
      <c r="D147" s="20" t="s">
        <v>3701</v>
      </c>
      <c r="E147" s="51" t="s">
        <v>3</v>
      </c>
      <c r="F147" s="11">
        <v>44110</v>
      </c>
      <c r="G147" s="5" t="s">
        <v>4395</v>
      </c>
      <c r="H147" s="2"/>
      <c r="I147" s="4">
        <v>8998112</v>
      </c>
      <c r="J147" s="4">
        <v>9000000</v>
      </c>
      <c r="K147" s="4">
        <v>0</v>
      </c>
      <c r="L147" s="2"/>
      <c r="M147" s="5" t="s">
        <v>3</v>
      </c>
      <c r="N147" s="5" t="s">
        <v>3228</v>
      </c>
      <c r="O147" s="5" t="s">
        <v>928</v>
      </c>
      <c r="P147" s="16" t="s">
        <v>3</v>
      </c>
    </row>
    <row r="148" spans="2:16" x14ac:dyDescent="0.25">
      <c r="B148" s="18" t="s">
        <v>820</v>
      </c>
      <c r="C148" s="44" t="s">
        <v>1498</v>
      </c>
      <c r="D148" s="20" t="s">
        <v>3701</v>
      </c>
      <c r="E148" s="51" t="s">
        <v>3</v>
      </c>
      <c r="F148" s="11">
        <v>44110</v>
      </c>
      <c r="G148" s="5" t="s">
        <v>4395</v>
      </c>
      <c r="H148" s="2"/>
      <c r="I148" s="4">
        <v>4999360</v>
      </c>
      <c r="J148" s="4">
        <v>5000000</v>
      </c>
      <c r="K148" s="4">
        <v>0</v>
      </c>
      <c r="L148" s="2"/>
      <c r="M148" s="5" t="s">
        <v>3</v>
      </c>
      <c r="N148" s="5" t="s">
        <v>3228</v>
      </c>
      <c r="O148" s="5" t="s">
        <v>928</v>
      </c>
      <c r="P148" s="16" t="s">
        <v>3</v>
      </c>
    </row>
    <row r="149" spans="2:16" x14ac:dyDescent="0.25">
      <c r="B149" s="18" t="s">
        <v>1919</v>
      </c>
      <c r="C149" s="44" t="s">
        <v>2593</v>
      </c>
      <c r="D149" s="20" t="s">
        <v>1866</v>
      </c>
      <c r="E149" s="51" t="s">
        <v>3</v>
      </c>
      <c r="F149" s="11">
        <v>44152</v>
      </c>
      <c r="G149" s="5" t="s">
        <v>191</v>
      </c>
      <c r="H149" s="2"/>
      <c r="I149" s="4">
        <v>5098560</v>
      </c>
      <c r="J149" s="4">
        <v>5100000</v>
      </c>
      <c r="K149" s="4">
        <v>0</v>
      </c>
      <c r="L149" s="2"/>
      <c r="M149" s="5" t="s">
        <v>3</v>
      </c>
      <c r="N149" s="5" t="s">
        <v>3228</v>
      </c>
      <c r="O149" s="5" t="s">
        <v>3228</v>
      </c>
      <c r="P149" s="16" t="s">
        <v>3</v>
      </c>
    </row>
    <row r="150" spans="2:16" x14ac:dyDescent="0.25">
      <c r="B150" s="18" t="s">
        <v>4132</v>
      </c>
      <c r="C150" s="44" t="s">
        <v>2498</v>
      </c>
      <c r="D150" s="20" t="s">
        <v>972</v>
      </c>
      <c r="E150" s="51" t="s">
        <v>3</v>
      </c>
      <c r="F150" s="11">
        <v>43836</v>
      </c>
      <c r="G150" s="5" t="s">
        <v>1557</v>
      </c>
      <c r="H150" s="2"/>
      <c r="I150" s="4">
        <v>5000000</v>
      </c>
      <c r="J150" s="4">
        <v>5000000</v>
      </c>
      <c r="K150" s="4">
        <v>0</v>
      </c>
      <c r="L150" s="2"/>
      <c r="M150" s="5" t="s">
        <v>3132</v>
      </c>
      <c r="N150" s="5" t="s">
        <v>972</v>
      </c>
      <c r="O150" s="5" t="s">
        <v>3</v>
      </c>
      <c r="P150" s="16" t="s">
        <v>3</v>
      </c>
    </row>
    <row r="151" spans="2:16" x14ac:dyDescent="0.25">
      <c r="B151" s="18" t="s">
        <v>821</v>
      </c>
      <c r="C151" s="44" t="s">
        <v>2803</v>
      </c>
      <c r="D151" s="20" t="s">
        <v>3265</v>
      </c>
      <c r="E151" s="51" t="s">
        <v>3</v>
      </c>
      <c r="F151" s="11">
        <v>43924</v>
      </c>
      <c r="G151" s="5" t="s">
        <v>4396</v>
      </c>
      <c r="H151" s="2"/>
      <c r="I151" s="4">
        <v>5000000</v>
      </c>
      <c r="J151" s="4">
        <v>5000000</v>
      </c>
      <c r="K151" s="4">
        <v>0</v>
      </c>
      <c r="L151" s="2"/>
      <c r="M151" s="5" t="s">
        <v>3</v>
      </c>
      <c r="N151" s="5" t="s">
        <v>72</v>
      </c>
      <c r="O151" s="5" t="s">
        <v>3</v>
      </c>
      <c r="P151" s="16" t="s">
        <v>3</v>
      </c>
    </row>
    <row r="152" spans="2:16" x14ac:dyDescent="0.25">
      <c r="B152" s="18" t="s">
        <v>1920</v>
      </c>
      <c r="C152" s="44" t="s">
        <v>2951</v>
      </c>
      <c r="D152" s="20" t="s">
        <v>433</v>
      </c>
      <c r="E152" s="51" t="s">
        <v>3</v>
      </c>
      <c r="F152" s="11">
        <v>44168</v>
      </c>
      <c r="G152" s="5" t="s">
        <v>191</v>
      </c>
      <c r="H152" s="2"/>
      <c r="I152" s="4">
        <v>551676</v>
      </c>
      <c r="J152" s="4">
        <v>550000</v>
      </c>
      <c r="K152" s="4">
        <v>346</v>
      </c>
      <c r="L152" s="2"/>
      <c r="M152" s="5" t="s">
        <v>3</v>
      </c>
      <c r="N152" s="5" t="s">
        <v>155</v>
      </c>
      <c r="O152" s="5" t="s">
        <v>928</v>
      </c>
      <c r="P152" s="16" t="s">
        <v>3</v>
      </c>
    </row>
    <row r="153" spans="2:16" x14ac:dyDescent="0.25">
      <c r="B153" s="18" t="s">
        <v>3004</v>
      </c>
      <c r="C153" s="44" t="s">
        <v>4362</v>
      </c>
      <c r="D153" s="20" t="s">
        <v>433</v>
      </c>
      <c r="E153" s="51" t="s">
        <v>3</v>
      </c>
      <c r="F153" s="11">
        <v>44124</v>
      </c>
      <c r="G153" s="5" t="s">
        <v>1293</v>
      </c>
      <c r="H153" s="2"/>
      <c r="I153" s="4">
        <v>5238768</v>
      </c>
      <c r="J153" s="4">
        <v>5240000</v>
      </c>
      <c r="K153" s="4">
        <v>0</v>
      </c>
      <c r="L153" s="2"/>
      <c r="M153" s="5" t="s">
        <v>3</v>
      </c>
      <c r="N153" s="5" t="s">
        <v>155</v>
      </c>
      <c r="O153" s="5" t="s">
        <v>928</v>
      </c>
      <c r="P153" s="16" t="s">
        <v>3</v>
      </c>
    </row>
    <row r="154" spans="2:16" x14ac:dyDescent="0.25">
      <c r="B154" s="18" t="s">
        <v>4133</v>
      </c>
      <c r="C154" s="44" t="s">
        <v>1070</v>
      </c>
      <c r="D154" s="20" t="s">
        <v>433</v>
      </c>
      <c r="E154" s="51" t="s">
        <v>3</v>
      </c>
      <c r="F154" s="11">
        <v>44124</v>
      </c>
      <c r="G154" s="5" t="s">
        <v>1293</v>
      </c>
      <c r="H154" s="2"/>
      <c r="I154" s="4">
        <v>5858913</v>
      </c>
      <c r="J154" s="4">
        <v>5860000</v>
      </c>
      <c r="K154" s="4">
        <v>0</v>
      </c>
      <c r="L154" s="2"/>
      <c r="M154" s="5" t="s">
        <v>3</v>
      </c>
      <c r="N154" s="5" t="s">
        <v>155</v>
      </c>
      <c r="O154" s="5" t="s">
        <v>928</v>
      </c>
      <c r="P154" s="16" t="s">
        <v>3</v>
      </c>
    </row>
    <row r="155" spans="2:16" x14ac:dyDescent="0.25">
      <c r="B155" s="18" t="s">
        <v>822</v>
      </c>
      <c r="C155" s="44" t="s">
        <v>1071</v>
      </c>
      <c r="D155" s="20" t="s">
        <v>4364</v>
      </c>
      <c r="E155" s="51" t="s">
        <v>3</v>
      </c>
      <c r="F155" s="11">
        <v>44096</v>
      </c>
      <c r="G155" s="5" t="s">
        <v>4394</v>
      </c>
      <c r="H155" s="2"/>
      <c r="I155" s="4">
        <v>7998536</v>
      </c>
      <c r="J155" s="4">
        <v>8000000</v>
      </c>
      <c r="K155" s="4">
        <v>0</v>
      </c>
      <c r="L155" s="2"/>
      <c r="M155" s="5" t="s">
        <v>3</v>
      </c>
      <c r="N155" s="5" t="s">
        <v>2956</v>
      </c>
      <c r="O155" s="5" t="s">
        <v>2956</v>
      </c>
      <c r="P155" s="16" t="s">
        <v>3</v>
      </c>
    </row>
    <row r="156" spans="2:16" x14ac:dyDescent="0.25">
      <c r="B156" s="18" t="s">
        <v>1921</v>
      </c>
      <c r="C156" s="44" t="s">
        <v>1396</v>
      </c>
      <c r="D156" s="20" t="s">
        <v>1397</v>
      </c>
      <c r="E156" s="51" t="s">
        <v>3</v>
      </c>
      <c r="F156" s="11">
        <v>44083</v>
      </c>
      <c r="G156" s="5" t="s">
        <v>1557</v>
      </c>
      <c r="H156" s="2"/>
      <c r="I156" s="4">
        <v>2000000</v>
      </c>
      <c r="J156" s="4">
        <v>2000000</v>
      </c>
      <c r="K156" s="4">
        <v>0</v>
      </c>
      <c r="L156" s="2"/>
      <c r="M156" s="5" t="s">
        <v>3</v>
      </c>
      <c r="N156" s="5" t="s">
        <v>1397</v>
      </c>
      <c r="O156" s="5" t="s">
        <v>3</v>
      </c>
      <c r="P156" s="16" t="s">
        <v>3</v>
      </c>
    </row>
    <row r="157" spans="2:16" x14ac:dyDescent="0.25">
      <c r="B157" s="18" t="s">
        <v>3005</v>
      </c>
      <c r="C157" s="44" t="s">
        <v>1499</v>
      </c>
      <c r="D157" s="20" t="s">
        <v>4069</v>
      </c>
      <c r="E157" s="51" t="s">
        <v>3</v>
      </c>
      <c r="F157" s="11">
        <v>44168</v>
      </c>
      <c r="G157" s="5" t="s">
        <v>1104</v>
      </c>
      <c r="H157" s="2"/>
      <c r="I157" s="4">
        <v>6226678</v>
      </c>
      <c r="J157" s="4">
        <v>6189000</v>
      </c>
      <c r="K157" s="4">
        <v>1512</v>
      </c>
      <c r="L157" s="2"/>
      <c r="M157" s="5" t="s">
        <v>3</v>
      </c>
      <c r="N157" s="5" t="s">
        <v>774</v>
      </c>
      <c r="O157" s="5" t="s">
        <v>774</v>
      </c>
      <c r="P157" s="16" t="s">
        <v>3</v>
      </c>
    </row>
    <row r="158" spans="2:16" x14ac:dyDescent="0.25">
      <c r="B158" s="18" t="s">
        <v>4402</v>
      </c>
      <c r="C158" s="44" t="s">
        <v>2596</v>
      </c>
      <c r="D158" s="20" t="s">
        <v>2594</v>
      </c>
      <c r="E158" s="51" t="s">
        <v>3</v>
      </c>
      <c r="F158" s="11">
        <v>44054</v>
      </c>
      <c r="G158" s="5" t="s">
        <v>1293</v>
      </c>
      <c r="H158" s="2"/>
      <c r="I158" s="4">
        <v>6249934</v>
      </c>
      <c r="J158" s="4">
        <v>6250000</v>
      </c>
      <c r="K158" s="4">
        <v>0</v>
      </c>
      <c r="L158" s="2"/>
      <c r="M158" s="5" t="s">
        <v>3</v>
      </c>
      <c r="N158" s="5" t="s">
        <v>435</v>
      </c>
      <c r="O158" s="5" t="s">
        <v>435</v>
      </c>
      <c r="P158" s="16" t="s">
        <v>3</v>
      </c>
    </row>
    <row r="159" spans="2:16" x14ac:dyDescent="0.25">
      <c r="B159" s="18" t="s">
        <v>1106</v>
      </c>
      <c r="C159" s="44" t="s">
        <v>4070</v>
      </c>
      <c r="D159" s="20" t="s">
        <v>2594</v>
      </c>
      <c r="E159" s="51" t="s">
        <v>3</v>
      </c>
      <c r="F159" s="11">
        <v>44054</v>
      </c>
      <c r="G159" s="5" t="s">
        <v>1293</v>
      </c>
      <c r="H159" s="2"/>
      <c r="I159" s="4">
        <v>3199991</v>
      </c>
      <c r="J159" s="4">
        <v>3200000</v>
      </c>
      <c r="K159" s="4">
        <v>0</v>
      </c>
      <c r="L159" s="2"/>
      <c r="M159" s="5" t="s">
        <v>3</v>
      </c>
      <c r="N159" s="5" t="s">
        <v>435</v>
      </c>
      <c r="O159" s="5" t="s">
        <v>435</v>
      </c>
      <c r="P159" s="16" t="s">
        <v>3</v>
      </c>
    </row>
    <row r="160" spans="2:16" x14ac:dyDescent="0.25">
      <c r="B160" s="18" t="s">
        <v>2386</v>
      </c>
      <c r="C160" s="44" t="s">
        <v>776</v>
      </c>
      <c r="D160" s="20" t="s">
        <v>4364</v>
      </c>
      <c r="E160" s="51" t="s">
        <v>3</v>
      </c>
      <c r="F160" s="11">
        <v>43871</v>
      </c>
      <c r="G160" s="5" t="s">
        <v>2994</v>
      </c>
      <c r="H160" s="2"/>
      <c r="I160" s="4">
        <v>5499567</v>
      </c>
      <c r="J160" s="4">
        <v>5500000</v>
      </c>
      <c r="K160" s="4">
        <v>0</v>
      </c>
      <c r="L160" s="2"/>
      <c r="M160" s="5" t="s">
        <v>3</v>
      </c>
      <c r="N160" s="5" t="s">
        <v>2956</v>
      </c>
      <c r="O160" s="5" t="s">
        <v>2956</v>
      </c>
      <c r="P160" s="16" t="s">
        <v>3</v>
      </c>
    </row>
    <row r="161" spans="2:16" x14ac:dyDescent="0.25">
      <c r="B161" s="18" t="s">
        <v>3488</v>
      </c>
      <c r="C161" s="44" t="s">
        <v>2597</v>
      </c>
      <c r="D161" s="20" t="s">
        <v>4364</v>
      </c>
      <c r="E161" s="51" t="s">
        <v>3</v>
      </c>
      <c r="F161" s="11">
        <v>44034</v>
      </c>
      <c r="G161" s="5" t="s">
        <v>4394</v>
      </c>
      <c r="H161" s="2"/>
      <c r="I161" s="4">
        <v>4329720</v>
      </c>
      <c r="J161" s="4">
        <v>4214000</v>
      </c>
      <c r="K161" s="4">
        <v>1503</v>
      </c>
      <c r="L161" s="2"/>
      <c r="M161" s="5" t="s">
        <v>3</v>
      </c>
      <c r="N161" s="5" t="s">
        <v>2956</v>
      </c>
      <c r="O161" s="5" t="s">
        <v>2956</v>
      </c>
      <c r="P161" s="16" t="s">
        <v>3</v>
      </c>
    </row>
    <row r="162" spans="2:16" x14ac:dyDescent="0.25">
      <c r="B162" s="18" t="s">
        <v>201</v>
      </c>
      <c r="C162" s="44" t="s">
        <v>3453</v>
      </c>
      <c r="D162" s="20" t="s">
        <v>4069</v>
      </c>
      <c r="E162" s="51" t="s">
        <v>3</v>
      </c>
      <c r="F162" s="11">
        <v>44110</v>
      </c>
      <c r="G162" s="5" t="s">
        <v>2994</v>
      </c>
      <c r="H162" s="2"/>
      <c r="I162" s="4">
        <v>3999751</v>
      </c>
      <c r="J162" s="4">
        <v>4000000</v>
      </c>
      <c r="K162" s="4">
        <v>0</v>
      </c>
      <c r="L162" s="2"/>
      <c r="M162" s="5" t="s">
        <v>3</v>
      </c>
      <c r="N162" s="5" t="s">
        <v>774</v>
      </c>
      <c r="O162" s="5" t="s">
        <v>774</v>
      </c>
      <c r="P162" s="16" t="s">
        <v>3</v>
      </c>
    </row>
    <row r="163" spans="2:16" x14ac:dyDescent="0.25">
      <c r="B163" s="18" t="s">
        <v>1305</v>
      </c>
      <c r="C163" s="44" t="s">
        <v>74</v>
      </c>
      <c r="D163" s="20" t="s">
        <v>2804</v>
      </c>
      <c r="E163" s="51" t="s">
        <v>3</v>
      </c>
      <c r="F163" s="11">
        <v>43913</v>
      </c>
      <c r="G163" s="5" t="s">
        <v>4394</v>
      </c>
      <c r="H163" s="2"/>
      <c r="I163" s="4">
        <v>1487280</v>
      </c>
      <c r="J163" s="4">
        <v>1500000</v>
      </c>
      <c r="K163" s="4">
        <v>0</v>
      </c>
      <c r="L163" s="2"/>
      <c r="M163" s="5" t="s">
        <v>73</v>
      </c>
      <c r="N163" s="5" t="s">
        <v>1725</v>
      </c>
      <c r="O163" s="5" t="s">
        <v>2501</v>
      </c>
      <c r="P163" s="16" t="s">
        <v>3</v>
      </c>
    </row>
    <row r="164" spans="2:16" x14ac:dyDescent="0.25">
      <c r="B164" s="18" t="s">
        <v>2652</v>
      </c>
      <c r="C164" s="44" t="s">
        <v>2047</v>
      </c>
      <c r="D164" s="20" t="s">
        <v>4265</v>
      </c>
      <c r="E164" s="51" t="s">
        <v>3</v>
      </c>
      <c r="F164" s="11">
        <v>43985</v>
      </c>
      <c r="G164" s="5" t="s">
        <v>1104</v>
      </c>
      <c r="H164" s="2"/>
      <c r="I164" s="4">
        <v>22356960</v>
      </c>
      <c r="J164" s="4">
        <v>22000000</v>
      </c>
      <c r="K164" s="4">
        <v>30625</v>
      </c>
      <c r="L164" s="2"/>
      <c r="M164" s="5" t="s">
        <v>2805</v>
      </c>
      <c r="N164" s="5" t="s">
        <v>326</v>
      </c>
      <c r="O164" s="5" t="s">
        <v>928</v>
      </c>
      <c r="P164" s="16" t="s">
        <v>3</v>
      </c>
    </row>
    <row r="165" spans="2:16" x14ac:dyDescent="0.25">
      <c r="B165" s="18" t="s">
        <v>3770</v>
      </c>
      <c r="C165" s="44" t="s">
        <v>2270</v>
      </c>
      <c r="D165" s="20" t="s">
        <v>2271</v>
      </c>
      <c r="E165" s="51" t="s">
        <v>3</v>
      </c>
      <c r="F165" s="11">
        <v>43873</v>
      </c>
      <c r="G165" s="5" t="s">
        <v>2994</v>
      </c>
      <c r="H165" s="2"/>
      <c r="I165" s="4">
        <v>5113800</v>
      </c>
      <c r="J165" s="4">
        <v>5000000</v>
      </c>
      <c r="K165" s="4">
        <v>1104</v>
      </c>
      <c r="L165" s="2"/>
      <c r="M165" s="5" t="s">
        <v>2505</v>
      </c>
      <c r="N165" s="5" t="s">
        <v>2807</v>
      </c>
      <c r="O165" s="5" t="s">
        <v>2048</v>
      </c>
      <c r="P165" s="16" t="s">
        <v>3</v>
      </c>
    </row>
    <row r="166" spans="2:16" x14ac:dyDescent="0.25">
      <c r="B166" s="18" t="s">
        <v>494</v>
      </c>
      <c r="C166" s="44" t="s">
        <v>977</v>
      </c>
      <c r="D166" s="20" t="s">
        <v>1731</v>
      </c>
      <c r="E166" s="51" t="s">
        <v>3</v>
      </c>
      <c r="F166" s="11">
        <v>44085</v>
      </c>
      <c r="G166" s="5" t="s">
        <v>2653</v>
      </c>
      <c r="H166" s="2"/>
      <c r="I166" s="4">
        <v>9985600</v>
      </c>
      <c r="J166" s="4">
        <v>10000000</v>
      </c>
      <c r="K166" s="4">
        <v>0</v>
      </c>
      <c r="L166" s="2"/>
      <c r="M166" s="5" t="s">
        <v>3</v>
      </c>
      <c r="N166" s="5" t="s">
        <v>3366</v>
      </c>
      <c r="O166" s="5" t="s">
        <v>928</v>
      </c>
      <c r="P166" s="16" t="s">
        <v>3</v>
      </c>
    </row>
    <row r="167" spans="2:16" x14ac:dyDescent="0.25">
      <c r="B167" s="18" t="s">
        <v>1569</v>
      </c>
      <c r="C167" s="44" t="s">
        <v>2343</v>
      </c>
      <c r="D167" s="20" t="s">
        <v>3454</v>
      </c>
      <c r="E167" s="51" t="s">
        <v>3</v>
      </c>
      <c r="F167" s="11">
        <v>43964</v>
      </c>
      <c r="G167" s="5" t="s">
        <v>1104</v>
      </c>
      <c r="H167" s="2"/>
      <c r="I167" s="4">
        <v>7575983</v>
      </c>
      <c r="J167" s="4">
        <v>7719000</v>
      </c>
      <c r="K167" s="4">
        <v>0</v>
      </c>
      <c r="L167" s="2"/>
      <c r="M167" s="5" t="s">
        <v>3</v>
      </c>
      <c r="N167" s="5" t="s">
        <v>2145</v>
      </c>
      <c r="O167" s="5" t="s">
        <v>928</v>
      </c>
      <c r="P167" s="16" t="s">
        <v>3</v>
      </c>
    </row>
    <row r="168" spans="2:16" x14ac:dyDescent="0.25">
      <c r="B168" s="18" t="s">
        <v>2654</v>
      </c>
      <c r="C168" s="44" t="s">
        <v>1267</v>
      </c>
      <c r="D168" s="20" t="s">
        <v>3454</v>
      </c>
      <c r="E168" s="51" t="s">
        <v>3</v>
      </c>
      <c r="F168" s="11">
        <v>43865</v>
      </c>
      <c r="G168" s="5" t="s">
        <v>4394</v>
      </c>
      <c r="H168" s="2"/>
      <c r="I168" s="4">
        <v>5317908</v>
      </c>
      <c r="J168" s="4">
        <v>5319000</v>
      </c>
      <c r="K168" s="4">
        <v>0</v>
      </c>
      <c r="L168" s="2"/>
      <c r="M168" s="5" t="s">
        <v>3</v>
      </c>
      <c r="N168" s="5" t="s">
        <v>2145</v>
      </c>
      <c r="O168" s="5" t="s">
        <v>928</v>
      </c>
      <c r="P168" s="16" t="s">
        <v>3</v>
      </c>
    </row>
    <row r="169" spans="2:16" x14ac:dyDescent="0.25">
      <c r="B169" s="18" t="s">
        <v>3771</v>
      </c>
      <c r="C169" s="44" t="s">
        <v>2507</v>
      </c>
      <c r="D169" s="20" t="s">
        <v>2049</v>
      </c>
      <c r="E169" s="51" t="s">
        <v>3</v>
      </c>
      <c r="F169" s="11">
        <v>44012</v>
      </c>
      <c r="G169" s="5" t="s">
        <v>2994</v>
      </c>
      <c r="H169" s="2"/>
      <c r="I169" s="4">
        <v>6988380</v>
      </c>
      <c r="J169" s="4">
        <v>7000000</v>
      </c>
      <c r="K169" s="4">
        <v>0</v>
      </c>
      <c r="L169" s="2"/>
      <c r="M169" s="5" t="s">
        <v>3</v>
      </c>
      <c r="N169" s="5" t="s">
        <v>978</v>
      </c>
      <c r="O169" s="5" t="s">
        <v>928</v>
      </c>
      <c r="P169" s="16" t="s">
        <v>3</v>
      </c>
    </row>
    <row r="170" spans="2:16" x14ac:dyDescent="0.25">
      <c r="B170" s="18" t="s">
        <v>1306</v>
      </c>
      <c r="C170" s="44" t="s">
        <v>2050</v>
      </c>
      <c r="D170" s="20" t="s">
        <v>2049</v>
      </c>
      <c r="E170" s="51" t="s">
        <v>3</v>
      </c>
      <c r="F170" s="11">
        <v>44151</v>
      </c>
      <c r="G170" s="5" t="s">
        <v>2994</v>
      </c>
      <c r="H170" s="2"/>
      <c r="I170" s="4">
        <v>9960700</v>
      </c>
      <c r="J170" s="4">
        <v>10000000</v>
      </c>
      <c r="K170" s="4">
        <v>0</v>
      </c>
      <c r="L170" s="2"/>
      <c r="M170" s="5" t="s">
        <v>3</v>
      </c>
      <c r="N170" s="5" t="s">
        <v>978</v>
      </c>
      <c r="O170" s="5" t="s">
        <v>928</v>
      </c>
      <c r="P170" s="16" t="s">
        <v>3</v>
      </c>
    </row>
    <row r="171" spans="2:16" x14ac:dyDescent="0.25">
      <c r="B171" s="18" t="s">
        <v>2387</v>
      </c>
      <c r="C171" s="44" t="s">
        <v>1073</v>
      </c>
      <c r="D171" s="20" t="s">
        <v>1504</v>
      </c>
      <c r="E171" s="51" t="s">
        <v>3</v>
      </c>
      <c r="F171" s="11">
        <v>43874</v>
      </c>
      <c r="G171" s="5" t="s">
        <v>1557</v>
      </c>
      <c r="H171" s="2"/>
      <c r="I171" s="4">
        <v>3999946</v>
      </c>
      <c r="J171" s="4">
        <v>4000000</v>
      </c>
      <c r="K171" s="4">
        <v>0</v>
      </c>
      <c r="L171" s="2"/>
      <c r="M171" s="5" t="s">
        <v>3</v>
      </c>
      <c r="N171" s="5" t="s">
        <v>777</v>
      </c>
      <c r="O171" s="5" t="s">
        <v>928</v>
      </c>
      <c r="P171" s="16" t="s">
        <v>3</v>
      </c>
    </row>
    <row r="172" spans="2:16" x14ac:dyDescent="0.25">
      <c r="B172" s="18" t="s">
        <v>3772</v>
      </c>
      <c r="C172" s="44" t="s">
        <v>4073</v>
      </c>
      <c r="D172" s="20" t="s">
        <v>1504</v>
      </c>
      <c r="E172" s="51" t="s">
        <v>3</v>
      </c>
      <c r="F172" s="11">
        <v>43874</v>
      </c>
      <c r="G172" s="5" t="s">
        <v>1557</v>
      </c>
      <c r="H172" s="2"/>
      <c r="I172" s="4">
        <v>9997289</v>
      </c>
      <c r="J172" s="4">
        <v>10000000</v>
      </c>
      <c r="K172" s="4">
        <v>0</v>
      </c>
      <c r="L172" s="2"/>
      <c r="M172" s="5" t="s">
        <v>3</v>
      </c>
      <c r="N172" s="5" t="s">
        <v>777</v>
      </c>
      <c r="O172" s="5" t="s">
        <v>928</v>
      </c>
      <c r="P172" s="16" t="s">
        <v>3</v>
      </c>
    </row>
    <row r="173" spans="2:16" x14ac:dyDescent="0.25">
      <c r="B173" s="18" t="s">
        <v>495</v>
      </c>
      <c r="C173" s="44" t="s">
        <v>1074</v>
      </c>
      <c r="D173" s="20" t="s">
        <v>4074</v>
      </c>
      <c r="E173" s="51" t="s">
        <v>3</v>
      </c>
      <c r="F173" s="11">
        <v>44078</v>
      </c>
      <c r="G173" s="5" t="s">
        <v>191</v>
      </c>
      <c r="H173" s="2"/>
      <c r="I173" s="4">
        <v>6252749</v>
      </c>
      <c r="J173" s="4">
        <v>6253700</v>
      </c>
      <c r="K173" s="4">
        <v>0</v>
      </c>
      <c r="L173" s="2"/>
      <c r="M173" s="5" t="s">
        <v>3</v>
      </c>
      <c r="N173" s="5" t="s">
        <v>439</v>
      </c>
      <c r="O173" s="5" t="s">
        <v>928</v>
      </c>
      <c r="P173" s="16" t="s">
        <v>3</v>
      </c>
    </row>
    <row r="174" spans="2:16" x14ac:dyDescent="0.25">
      <c r="B174" s="18" t="s">
        <v>1570</v>
      </c>
      <c r="C174" s="44" t="s">
        <v>1075</v>
      </c>
      <c r="D174" s="20" t="s">
        <v>4074</v>
      </c>
      <c r="E174" s="51" t="s">
        <v>3</v>
      </c>
      <c r="F174" s="11">
        <v>44078</v>
      </c>
      <c r="G174" s="5" t="s">
        <v>191</v>
      </c>
      <c r="H174" s="2"/>
      <c r="I174" s="4">
        <v>3704943</v>
      </c>
      <c r="J174" s="4">
        <v>3705896</v>
      </c>
      <c r="K174" s="4">
        <v>0</v>
      </c>
      <c r="L174" s="2"/>
      <c r="M174" s="5" t="s">
        <v>3</v>
      </c>
      <c r="N174" s="5" t="s">
        <v>439</v>
      </c>
      <c r="O174" s="5" t="s">
        <v>928</v>
      </c>
      <c r="P174" s="16" t="s">
        <v>3</v>
      </c>
    </row>
    <row r="175" spans="2:16" x14ac:dyDescent="0.25">
      <c r="B175" s="18" t="s">
        <v>2655</v>
      </c>
      <c r="C175" s="44" t="s">
        <v>3136</v>
      </c>
      <c r="D175" s="20" t="s">
        <v>4134</v>
      </c>
      <c r="E175" s="51" t="s">
        <v>3</v>
      </c>
      <c r="F175" s="11">
        <v>44132</v>
      </c>
      <c r="G175" s="5" t="s">
        <v>1307</v>
      </c>
      <c r="H175" s="2"/>
      <c r="I175" s="4">
        <v>7247835</v>
      </c>
      <c r="J175" s="4">
        <v>6650000</v>
      </c>
      <c r="K175" s="4">
        <v>110519</v>
      </c>
      <c r="L175" s="2"/>
      <c r="M175" s="5" t="s">
        <v>3</v>
      </c>
      <c r="N175" s="5" t="s">
        <v>4267</v>
      </c>
      <c r="O175" s="5" t="s">
        <v>3</v>
      </c>
      <c r="P175" s="16" t="s">
        <v>3</v>
      </c>
    </row>
    <row r="176" spans="2:16" x14ac:dyDescent="0.25">
      <c r="B176" s="18" t="s">
        <v>3773</v>
      </c>
      <c r="C176" s="44" t="s">
        <v>4268</v>
      </c>
      <c r="D176" s="20" t="s">
        <v>3006</v>
      </c>
      <c r="E176" s="51" t="s">
        <v>3</v>
      </c>
      <c r="F176" s="11">
        <v>43990</v>
      </c>
      <c r="G176" s="5" t="s">
        <v>191</v>
      </c>
      <c r="H176" s="2"/>
      <c r="I176" s="4">
        <v>5000000</v>
      </c>
      <c r="J176" s="4">
        <v>5000000</v>
      </c>
      <c r="K176" s="4">
        <v>0</v>
      </c>
      <c r="L176" s="2"/>
      <c r="M176" s="5" t="s">
        <v>3</v>
      </c>
      <c r="N176" s="5" t="s">
        <v>4267</v>
      </c>
      <c r="O176" s="5" t="s">
        <v>3</v>
      </c>
      <c r="P176" s="16" t="s">
        <v>3</v>
      </c>
    </row>
    <row r="177" spans="2:16" x14ac:dyDescent="0.25">
      <c r="B177" s="18" t="s">
        <v>496</v>
      </c>
      <c r="C177" s="44" t="s">
        <v>2276</v>
      </c>
      <c r="D177" s="20" t="s">
        <v>1405</v>
      </c>
      <c r="E177" s="51" t="s">
        <v>3</v>
      </c>
      <c r="F177" s="11">
        <v>44026</v>
      </c>
      <c r="G177" s="5" t="s">
        <v>1293</v>
      </c>
      <c r="H177" s="2"/>
      <c r="I177" s="4">
        <v>14973000</v>
      </c>
      <c r="J177" s="4">
        <v>15000000</v>
      </c>
      <c r="K177" s="4">
        <v>0</v>
      </c>
      <c r="L177" s="2"/>
      <c r="M177" s="5" t="s">
        <v>2812</v>
      </c>
      <c r="N177" s="5" t="s">
        <v>1405</v>
      </c>
      <c r="O177" s="5" t="s">
        <v>3</v>
      </c>
      <c r="P177" s="16" t="s">
        <v>3</v>
      </c>
    </row>
    <row r="178" spans="2:16" x14ac:dyDescent="0.25">
      <c r="B178" s="18" t="s">
        <v>1571</v>
      </c>
      <c r="C178" s="44" t="s">
        <v>3235</v>
      </c>
      <c r="D178" s="20" t="s">
        <v>3707</v>
      </c>
      <c r="E178" s="51" t="s">
        <v>3</v>
      </c>
      <c r="F178" s="11">
        <v>44131</v>
      </c>
      <c r="G178" s="5" t="s">
        <v>191</v>
      </c>
      <c r="H178" s="2"/>
      <c r="I178" s="4">
        <v>3174570</v>
      </c>
      <c r="J178" s="4">
        <v>3075575</v>
      </c>
      <c r="K178" s="4">
        <v>1367</v>
      </c>
      <c r="L178" s="2"/>
      <c r="M178" s="5" t="s">
        <v>3</v>
      </c>
      <c r="N178" s="5" t="s">
        <v>4075</v>
      </c>
      <c r="O178" s="5" t="s">
        <v>928</v>
      </c>
      <c r="P178" s="16" t="s">
        <v>3</v>
      </c>
    </row>
    <row r="179" spans="2:16" x14ac:dyDescent="0.25">
      <c r="B179" s="18" t="s">
        <v>2656</v>
      </c>
      <c r="C179" s="44" t="s">
        <v>4076</v>
      </c>
      <c r="D179" s="20" t="s">
        <v>441</v>
      </c>
      <c r="E179" s="51" t="s">
        <v>3</v>
      </c>
      <c r="F179" s="11">
        <v>44027</v>
      </c>
      <c r="G179" s="5" t="s">
        <v>191</v>
      </c>
      <c r="H179" s="2"/>
      <c r="I179" s="4">
        <v>2913662</v>
      </c>
      <c r="J179" s="4">
        <v>2874142</v>
      </c>
      <c r="K179" s="4">
        <v>4110</v>
      </c>
      <c r="L179" s="2"/>
      <c r="M179" s="5" t="s">
        <v>3</v>
      </c>
      <c r="N179" s="5" t="s">
        <v>4077</v>
      </c>
      <c r="O179" s="5" t="s">
        <v>928</v>
      </c>
      <c r="P179" s="16" t="s">
        <v>3</v>
      </c>
    </row>
    <row r="180" spans="2:16" x14ac:dyDescent="0.25">
      <c r="B180" s="18" t="s">
        <v>202</v>
      </c>
      <c r="C180" s="44" t="s">
        <v>1269</v>
      </c>
      <c r="D180" s="20" t="s">
        <v>3707</v>
      </c>
      <c r="E180" s="51" t="s">
        <v>3</v>
      </c>
      <c r="F180" s="11">
        <v>44035</v>
      </c>
      <c r="G180" s="5" t="s">
        <v>198</v>
      </c>
      <c r="H180" s="2"/>
      <c r="I180" s="4">
        <v>2585895</v>
      </c>
      <c r="J180" s="4">
        <v>2507534</v>
      </c>
      <c r="K180" s="4">
        <v>382</v>
      </c>
      <c r="L180" s="2"/>
      <c r="M180" s="5" t="s">
        <v>3</v>
      </c>
      <c r="N180" s="5" t="s">
        <v>4075</v>
      </c>
      <c r="O180" s="5" t="s">
        <v>928</v>
      </c>
      <c r="P180" s="16" t="s">
        <v>3</v>
      </c>
    </row>
    <row r="181" spans="2:16" x14ac:dyDescent="0.25">
      <c r="B181" s="18" t="s">
        <v>1572</v>
      </c>
      <c r="C181" s="44" t="s">
        <v>3369</v>
      </c>
      <c r="D181" s="20" t="s">
        <v>1206</v>
      </c>
      <c r="E181" s="51" t="s">
        <v>3</v>
      </c>
      <c r="F181" s="11">
        <v>43867</v>
      </c>
      <c r="G181" s="5" t="s">
        <v>1107</v>
      </c>
      <c r="H181" s="2"/>
      <c r="I181" s="4">
        <v>10351700</v>
      </c>
      <c r="J181" s="4">
        <v>10000000</v>
      </c>
      <c r="K181" s="4">
        <v>153125</v>
      </c>
      <c r="L181" s="2"/>
      <c r="M181" s="5" t="s">
        <v>3137</v>
      </c>
      <c r="N181" s="5" t="s">
        <v>2277</v>
      </c>
      <c r="O181" s="5" t="s">
        <v>333</v>
      </c>
      <c r="P181" s="16" t="s">
        <v>3</v>
      </c>
    </row>
    <row r="182" spans="2:16" x14ac:dyDescent="0.25">
      <c r="B182" s="18" t="s">
        <v>2657</v>
      </c>
      <c r="C182" s="44" t="s">
        <v>442</v>
      </c>
      <c r="D182" s="20" t="s">
        <v>2962</v>
      </c>
      <c r="E182" s="51" t="s">
        <v>3</v>
      </c>
      <c r="F182" s="11">
        <v>44092</v>
      </c>
      <c r="G182" s="5" t="s">
        <v>2994</v>
      </c>
      <c r="H182" s="2"/>
      <c r="I182" s="4">
        <v>8998078</v>
      </c>
      <c r="J182" s="4">
        <v>9000000</v>
      </c>
      <c r="K182" s="4">
        <v>0</v>
      </c>
      <c r="L182" s="2"/>
      <c r="M182" s="5" t="s">
        <v>3</v>
      </c>
      <c r="N182" s="5" t="s">
        <v>158</v>
      </c>
      <c r="O182" s="5" t="s">
        <v>928</v>
      </c>
      <c r="P182" s="16" t="s">
        <v>3</v>
      </c>
    </row>
    <row r="183" spans="2:16" x14ac:dyDescent="0.25">
      <c r="B183" s="18" t="s">
        <v>3774</v>
      </c>
      <c r="C183" s="44" t="s">
        <v>159</v>
      </c>
      <c r="D183" s="20" t="s">
        <v>1076</v>
      </c>
      <c r="E183" s="51" t="s">
        <v>3</v>
      </c>
      <c r="F183" s="11">
        <v>44124</v>
      </c>
      <c r="G183" s="5" t="s">
        <v>3266</v>
      </c>
      <c r="H183" s="2"/>
      <c r="I183" s="4">
        <v>7499521</v>
      </c>
      <c r="J183" s="4">
        <v>7500000</v>
      </c>
      <c r="K183" s="4">
        <v>0</v>
      </c>
      <c r="L183" s="2"/>
      <c r="M183" s="5" t="s">
        <v>3</v>
      </c>
      <c r="N183" s="5" t="s">
        <v>1077</v>
      </c>
      <c r="O183" s="5" t="s">
        <v>1077</v>
      </c>
      <c r="P183" s="16" t="s">
        <v>3</v>
      </c>
    </row>
    <row r="184" spans="2:16" x14ac:dyDescent="0.25">
      <c r="B184" s="18" t="s">
        <v>497</v>
      </c>
      <c r="C184" s="44" t="s">
        <v>3236</v>
      </c>
      <c r="D184" s="20" t="s">
        <v>2962</v>
      </c>
      <c r="E184" s="51" t="s">
        <v>3</v>
      </c>
      <c r="F184" s="11">
        <v>43843</v>
      </c>
      <c r="G184" s="5" t="s">
        <v>4397</v>
      </c>
      <c r="H184" s="2"/>
      <c r="I184" s="4">
        <v>8499873</v>
      </c>
      <c r="J184" s="4">
        <v>8500000</v>
      </c>
      <c r="K184" s="4">
        <v>0</v>
      </c>
      <c r="L184" s="2"/>
      <c r="M184" s="5" t="s">
        <v>3</v>
      </c>
      <c r="N184" s="5" t="s">
        <v>158</v>
      </c>
      <c r="O184" s="5" t="s">
        <v>928</v>
      </c>
      <c r="P184" s="16" t="s">
        <v>3</v>
      </c>
    </row>
    <row r="185" spans="2:16" x14ac:dyDescent="0.25">
      <c r="B185" s="18" t="s">
        <v>1573</v>
      </c>
      <c r="C185" s="44" t="s">
        <v>1209</v>
      </c>
      <c r="D185" s="20" t="s">
        <v>3925</v>
      </c>
      <c r="E185" s="51" t="s">
        <v>3</v>
      </c>
      <c r="F185" s="11">
        <v>43910</v>
      </c>
      <c r="G185" s="5" t="s">
        <v>2994</v>
      </c>
      <c r="H185" s="2"/>
      <c r="I185" s="4">
        <v>9481475</v>
      </c>
      <c r="J185" s="4">
        <v>9500000</v>
      </c>
      <c r="K185" s="4">
        <v>0</v>
      </c>
      <c r="L185" s="2"/>
      <c r="M185" s="5" t="s">
        <v>77</v>
      </c>
      <c r="N185" s="5" t="s">
        <v>1406</v>
      </c>
      <c r="O185" s="5" t="s">
        <v>1208</v>
      </c>
      <c r="P185" s="16" t="s">
        <v>3</v>
      </c>
    </row>
    <row r="186" spans="2:16" x14ac:dyDescent="0.25">
      <c r="B186" s="18" t="s">
        <v>2658</v>
      </c>
      <c r="C186" s="44" t="s">
        <v>4272</v>
      </c>
      <c r="D186" s="20" t="s">
        <v>1108</v>
      </c>
      <c r="E186" s="51" t="s">
        <v>3</v>
      </c>
      <c r="F186" s="11">
        <v>44047</v>
      </c>
      <c r="G186" s="5" t="s">
        <v>1293</v>
      </c>
      <c r="H186" s="2"/>
      <c r="I186" s="4">
        <v>5576700</v>
      </c>
      <c r="J186" s="4">
        <v>5000000</v>
      </c>
      <c r="K186" s="4">
        <v>13167</v>
      </c>
      <c r="L186" s="2"/>
      <c r="M186" s="5" t="s">
        <v>1739</v>
      </c>
      <c r="N186" s="5" t="s">
        <v>2052</v>
      </c>
      <c r="O186" s="5" t="s">
        <v>3</v>
      </c>
      <c r="P186" s="16" t="s">
        <v>3</v>
      </c>
    </row>
    <row r="187" spans="2:16" x14ac:dyDescent="0.25">
      <c r="B187" s="18" t="s">
        <v>3775</v>
      </c>
      <c r="C187" s="44" t="s">
        <v>1409</v>
      </c>
      <c r="D187" s="20" t="s">
        <v>3489</v>
      </c>
      <c r="E187" s="51" t="s">
        <v>3</v>
      </c>
      <c r="F187" s="11">
        <v>43873</v>
      </c>
      <c r="G187" s="5" t="s">
        <v>2994</v>
      </c>
      <c r="H187" s="2"/>
      <c r="I187" s="4">
        <v>8104880</v>
      </c>
      <c r="J187" s="4">
        <v>8000000</v>
      </c>
      <c r="K187" s="4">
        <v>79768</v>
      </c>
      <c r="L187" s="2"/>
      <c r="M187" s="5" t="s">
        <v>3927</v>
      </c>
      <c r="N187" s="5" t="s">
        <v>628</v>
      </c>
      <c r="O187" s="5" t="s">
        <v>3</v>
      </c>
      <c r="P187" s="16" t="s">
        <v>3</v>
      </c>
    </row>
    <row r="188" spans="2:16" x14ac:dyDescent="0.25">
      <c r="B188" s="18" t="s">
        <v>498</v>
      </c>
      <c r="C188" s="44" t="s">
        <v>1410</v>
      </c>
      <c r="D188" s="20" t="s">
        <v>499</v>
      </c>
      <c r="E188" s="51" t="s">
        <v>3</v>
      </c>
      <c r="F188" s="11">
        <v>44147</v>
      </c>
      <c r="G188" s="5" t="s">
        <v>2994</v>
      </c>
      <c r="H188" s="2"/>
      <c r="I188" s="4">
        <v>4000000</v>
      </c>
      <c r="J188" s="4">
        <v>4000000</v>
      </c>
      <c r="K188" s="4">
        <v>0</v>
      </c>
      <c r="L188" s="2"/>
      <c r="M188" s="5" t="s">
        <v>3927</v>
      </c>
      <c r="N188" s="5" t="s">
        <v>628</v>
      </c>
      <c r="O188" s="5" t="s">
        <v>3</v>
      </c>
      <c r="P188" s="16" t="s">
        <v>3</v>
      </c>
    </row>
    <row r="189" spans="2:16" x14ac:dyDescent="0.25">
      <c r="B189" s="18" t="s">
        <v>1574</v>
      </c>
      <c r="C189" s="44" t="s">
        <v>4273</v>
      </c>
      <c r="D189" s="20" t="s">
        <v>2659</v>
      </c>
      <c r="E189" s="51" t="s">
        <v>3</v>
      </c>
      <c r="F189" s="11">
        <v>44153</v>
      </c>
      <c r="G189" s="5" t="s">
        <v>191</v>
      </c>
      <c r="H189" s="2"/>
      <c r="I189" s="4">
        <v>8000000</v>
      </c>
      <c r="J189" s="4">
        <v>8000000</v>
      </c>
      <c r="K189" s="4">
        <v>0</v>
      </c>
      <c r="L189" s="2"/>
      <c r="M189" s="5" t="s">
        <v>632</v>
      </c>
      <c r="N189" s="5" t="s">
        <v>981</v>
      </c>
      <c r="O189" s="5" t="s">
        <v>3</v>
      </c>
      <c r="P189" s="16" t="s">
        <v>3</v>
      </c>
    </row>
    <row r="190" spans="2:16" x14ac:dyDescent="0.25">
      <c r="B190" s="18" t="s">
        <v>3776</v>
      </c>
      <c r="C190" s="44" t="s">
        <v>2824</v>
      </c>
      <c r="D190" s="20" t="s">
        <v>2388</v>
      </c>
      <c r="E190" s="51" t="s">
        <v>3</v>
      </c>
      <c r="F190" s="11">
        <v>43985</v>
      </c>
      <c r="G190" s="5" t="s">
        <v>1557</v>
      </c>
      <c r="H190" s="2"/>
      <c r="I190" s="4">
        <v>10205600</v>
      </c>
      <c r="J190" s="4">
        <v>10000000</v>
      </c>
      <c r="K190" s="4">
        <v>74375</v>
      </c>
      <c r="L190" s="2"/>
      <c r="M190" s="5" t="s">
        <v>3</v>
      </c>
      <c r="N190" s="5" t="s">
        <v>1744</v>
      </c>
      <c r="O190" s="5" t="s">
        <v>3</v>
      </c>
      <c r="P190" s="16" t="s">
        <v>3</v>
      </c>
    </row>
    <row r="191" spans="2:16" x14ac:dyDescent="0.25">
      <c r="B191" s="18" t="s">
        <v>500</v>
      </c>
      <c r="C191" s="44" t="s">
        <v>80</v>
      </c>
      <c r="D191" s="20" t="s">
        <v>638</v>
      </c>
      <c r="E191" s="51" t="s">
        <v>3</v>
      </c>
      <c r="F191" s="11">
        <v>43958</v>
      </c>
      <c r="G191" s="5" t="s">
        <v>1293</v>
      </c>
      <c r="H191" s="2"/>
      <c r="I191" s="4">
        <v>996420</v>
      </c>
      <c r="J191" s="4">
        <v>1000000</v>
      </c>
      <c r="K191" s="4">
        <v>0</v>
      </c>
      <c r="L191" s="2"/>
      <c r="M191" s="5" t="s">
        <v>3614</v>
      </c>
      <c r="N191" s="5" t="s">
        <v>2284</v>
      </c>
      <c r="O191" s="5" t="s">
        <v>928</v>
      </c>
      <c r="P191" s="16" t="s">
        <v>3</v>
      </c>
    </row>
    <row r="192" spans="2:16" x14ac:dyDescent="0.25">
      <c r="B192" s="18" t="s">
        <v>1575</v>
      </c>
      <c r="C192" s="44" t="s">
        <v>3377</v>
      </c>
      <c r="D192" s="20" t="s">
        <v>4403</v>
      </c>
      <c r="E192" s="51" t="s">
        <v>3</v>
      </c>
      <c r="F192" s="11">
        <v>44056</v>
      </c>
      <c r="G192" s="5" t="s">
        <v>4396</v>
      </c>
      <c r="H192" s="2"/>
      <c r="I192" s="4">
        <v>2009041</v>
      </c>
      <c r="J192" s="4">
        <v>2000000</v>
      </c>
      <c r="K192" s="4">
        <v>0</v>
      </c>
      <c r="L192" s="2"/>
      <c r="M192" s="5" t="s">
        <v>3936</v>
      </c>
      <c r="N192" s="5" t="s">
        <v>2829</v>
      </c>
      <c r="O192" s="5" t="s">
        <v>3</v>
      </c>
      <c r="P192" s="16" t="s">
        <v>3</v>
      </c>
    </row>
    <row r="193" spans="2:16" x14ac:dyDescent="0.25">
      <c r="B193" s="18" t="s">
        <v>2660</v>
      </c>
      <c r="C193" s="44" t="s">
        <v>985</v>
      </c>
      <c r="D193" s="20" t="s">
        <v>1922</v>
      </c>
      <c r="E193" s="51" t="s">
        <v>3</v>
      </c>
      <c r="F193" s="11">
        <v>44167</v>
      </c>
      <c r="G193" s="5" t="s">
        <v>2995</v>
      </c>
      <c r="H193" s="2"/>
      <c r="I193" s="4">
        <v>9179283</v>
      </c>
      <c r="J193" s="4">
        <v>9187000</v>
      </c>
      <c r="K193" s="4">
        <v>13934</v>
      </c>
      <c r="L193" s="2"/>
      <c r="M193" s="5" t="s">
        <v>2059</v>
      </c>
      <c r="N193" s="5" t="s">
        <v>1213</v>
      </c>
      <c r="O193" s="5" t="s">
        <v>3</v>
      </c>
      <c r="P193" s="16" t="s">
        <v>3</v>
      </c>
    </row>
    <row r="194" spans="2:16" x14ac:dyDescent="0.25">
      <c r="B194" s="18" t="s">
        <v>3777</v>
      </c>
      <c r="C194" s="44" t="s">
        <v>1750</v>
      </c>
      <c r="D194" s="20" t="s">
        <v>3267</v>
      </c>
      <c r="E194" s="51" t="s">
        <v>3</v>
      </c>
      <c r="F194" s="11">
        <v>43973</v>
      </c>
      <c r="G194" s="5" t="s">
        <v>4396</v>
      </c>
      <c r="H194" s="2"/>
      <c r="I194" s="4">
        <v>2995199</v>
      </c>
      <c r="J194" s="4">
        <v>3000000</v>
      </c>
      <c r="K194" s="4">
        <v>0</v>
      </c>
      <c r="L194" s="2"/>
      <c r="M194" s="5" t="s">
        <v>1749</v>
      </c>
      <c r="N194" s="5" t="s">
        <v>342</v>
      </c>
      <c r="O194" s="5" t="s">
        <v>3</v>
      </c>
      <c r="P194" s="16" t="s">
        <v>3</v>
      </c>
    </row>
    <row r="195" spans="2:16" x14ac:dyDescent="0.25">
      <c r="B195" s="18" t="s">
        <v>501</v>
      </c>
      <c r="C195" s="44" t="s">
        <v>3711</v>
      </c>
      <c r="D195" s="20" t="s">
        <v>446</v>
      </c>
      <c r="E195" s="51" t="s">
        <v>3</v>
      </c>
      <c r="F195" s="11">
        <v>44166</v>
      </c>
      <c r="G195" s="5" t="s">
        <v>198</v>
      </c>
      <c r="H195" s="2"/>
      <c r="I195" s="4">
        <v>570513</v>
      </c>
      <c r="J195" s="4">
        <v>558471</v>
      </c>
      <c r="K195" s="4">
        <v>488</v>
      </c>
      <c r="L195" s="2"/>
      <c r="M195" s="5" t="s">
        <v>3</v>
      </c>
      <c r="N195" s="5" t="s">
        <v>1270</v>
      </c>
      <c r="O195" s="5" t="s">
        <v>928</v>
      </c>
      <c r="P195" s="16" t="s">
        <v>3</v>
      </c>
    </row>
    <row r="196" spans="2:16" x14ac:dyDescent="0.25">
      <c r="B196" s="18" t="s">
        <v>1576</v>
      </c>
      <c r="C196" s="44" t="s">
        <v>3712</v>
      </c>
      <c r="D196" s="20" t="s">
        <v>446</v>
      </c>
      <c r="E196" s="51" t="s">
        <v>3</v>
      </c>
      <c r="F196" s="11">
        <v>44036</v>
      </c>
      <c r="G196" s="5" t="s">
        <v>198</v>
      </c>
      <c r="H196" s="2"/>
      <c r="I196" s="4">
        <v>2232364</v>
      </c>
      <c r="J196" s="4">
        <v>2208894</v>
      </c>
      <c r="K196" s="4">
        <v>1350</v>
      </c>
      <c r="L196" s="2"/>
      <c r="M196" s="5" t="s">
        <v>3</v>
      </c>
      <c r="N196" s="5" t="s">
        <v>1270</v>
      </c>
      <c r="O196" s="5" t="s">
        <v>928</v>
      </c>
      <c r="P196" s="16" t="s">
        <v>3</v>
      </c>
    </row>
    <row r="197" spans="2:16" x14ac:dyDescent="0.25">
      <c r="B197" s="18" t="s">
        <v>2661</v>
      </c>
      <c r="C197" s="44" t="s">
        <v>2607</v>
      </c>
      <c r="D197" s="20" t="s">
        <v>1513</v>
      </c>
      <c r="E197" s="51" t="s">
        <v>3</v>
      </c>
      <c r="F197" s="11">
        <v>44166</v>
      </c>
      <c r="G197" s="5" t="s">
        <v>198</v>
      </c>
      <c r="H197" s="2"/>
      <c r="I197" s="4">
        <v>8454684</v>
      </c>
      <c r="J197" s="4">
        <v>8298519</v>
      </c>
      <c r="K197" s="4">
        <v>1721</v>
      </c>
      <c r="L197" s="2"/>
      <c r="M197" s="5" t="s">
        <v>3</v>
      </c>
      <c r="N197" s="5" t="s">
        <v>4082</v>
      </c>
      <c r="O197" s="5" t="s">
        <v>928</v>
      </c>
      <c r="P197" s="16" t="s">
        <v>3</v>
      </c>
    </row>
    <row r="198" spans="2:16" x14ac:dyDescent="0.25">
      <c r="B198" s="18" t="s">
        <v>4135</v>
      </c>
      <c r="C198" s="44" t="s">
        <v>2346</v>
      </c>
      <c r="D198" s="20" t="s">
        <v>1513</v>
      </c>
      <c r="E198" s="51" t="s">
        <v>3</v>
      </c>
      <c r="F198" s="11">
        <v>44034</v>
      </c>
      <c r="G198" s="5" t="s">
        <v>198</v>
      </c>
      <c r="H198" s="2"/>
      <c r="I198" s="4">
        <v>1938255</v>
      </c>
      <c r="J198" s="4">
        <v>1938558</v>
      </c>
      <c r="K198" s="4">
        <v>526</v>
      </c>
      <c r="L198" s="2"/>
      <c r="M198" s="5" t="s">
        <v>3</v>
      </c>
      <c r="N198" s="5" t="s">
        <v>4082</v>
      </c>
      <c r="O198" s="5" t="s">
        <v>928</v>
      </c>
      <c r="P198" s="16" t="s">
        <v>3</v>
      </c>
    </row>
    <row r="199" spans="2:16" x14ac:dyDescent="0.25">
      <c r="B199" s="18" t="s">
        <v>823</v>
      </c>
      <c r="C199" s="44" t="s">
        <v>4084</v>
      </c>
      <c r="D199" s="20" t="s">
        <v>3717</v>
      </c>
      <c r="E199" s="51" t="s">
        <v>3</v>
      </c>
      <c r="F199" s="11">
        <v>44025</v>
      </c>
      <c r="G199" s="5" t="s">
        <v>198</v>
      </c>
      <c r="H199" s="2"/>
      <c r="I199" s="4">
        <v>7263214</v>
      </c>
      <c r="J199" s="4">
        <v>7264074</v>
      </c>
      <c r="K199" s="4">
        <v>0</v>
      </c>
      <c r="L199" s="2"/>
      <c r="M199" s="5" t="s">
        <v>3</v>
      </c>
      <c r="N199" s="5" t="s">
        <v>2964</v>
      </c>
      <c r="O199" s="5" t="s">
        <v>928</v>
      </c>
      <c r="P199" s="16" t="s">
        <v>3</v>
      </c>
    </row>
    <row r="200" spans="2:16" x14ac:dyDescent="0.25">
      <c r="B200" s="18" t="s">
        <v>2662</v>
      </c>
      <c r="C200" s="44" t="s">
        <v>3718</v>
      </c>
      <c r="D200" s="20" t="s">
        <v>3717</v>
      </c>
      <c r="E200" s="51" t="s">
        <v>3</v>
      </c>
      <c r="F200" s="11">
        <v>44025</v>
      </c>
      <c r="G200" s="5" t="s">
        <v>198</v>
      </c>
      <c r="H200" s="2"/>
      <c r="I200" s="4">
        <v>1815768</v>
      </c>
      <c r="J200" s="4">
        <v>1816019</v>
      </c>
      <c r="K200" s="4">
        <v>0</v>
      </c>
      <c r="L200" s="2"/>
      <c r="M200" s="5" t="s">
        <v>3</v>
      </c>
      <c r="N200" s="5" t="s">
        <v>2964</v>
      </c>
      <c r="O200" s="5" t="s">
        <v>928</v>
      </c>
      <c r="P200" s="16" t="s">
        <v>3</v>
      </c>
    </row>
    <row r="201" spans="2:16" x14ac:dyDescent="0.25">
      <c r="B201" s="18" t="s">
        <v>3778</v>
      </c>
      <c r="C201" s="44" t="s">
        <v>993</v>
      </c>
      <c r="D201" s="20" t="s">
        <v>2287</v>
      </c>
      <c r="E201" s="51" t="s">
        <v>3</v>
      </c>
      <c r="F201" s="11">
        <v>43985</v>
      </c>
      <c r="G201" s="5" t="s">
        <v>1104</v>
      </c>
      <c r="H201" s="2"/>
      <c r="I201" s="4">
        <v>23978897</v>
      </c>
      <c r="J201" s="4">
        <v>23510000</v>
      </c>
      <c r="K201" s="4">
        <v>92521</v>
      </c>
      <c r="L201" s="2"/>
      <c r="M201" s="5" t="s">
        <v>991</v>
      </c>
      <c r="N201" s="5" t="s">
        <v>3616</v>
      </c>
      <c r="O201" s="5" t="s">
        <v>928</v>
      </c>
      <c r="P201" s="16" t="s">
        <v>3</v>
      </c>
    </row>
    <row r="202" spans="2:16" x14ac:dyDescent="0.25">
      <c r="B202" s="18" t="s">
        <v>502</v>
      </c>
      <c r="C202" s="44" t="s">
        <v>3941</v>
      </c>
      <c r="D202" s="20" t="s">
        <v>824</v>
      </c>
      <c r="E202" s="51" t="s">
        <v>3</v>
      </c>
      <c r="F202" s="11">
        <v>43914</v>
      </c>
      <c r="G202" s="5" t="s">
        <v>1293</v>
      </c>
      <c r="H202" s="2"/>
      <c r="I202" s="4">
        <v>1495815</v>
      </c>
      <c r="J202" s="4">
        <v>1500000</v>
      </c>
      <c r="K202" s="4">
        <v>0</v>
      </c>
      <c r="L202" s="2"/>
      <c r="M202" s="5" t="s">
        <v>2836</v>
      </c>
      <c r="N202" s="5" t="s">
        <v>1420</v>
      </c>
      <c r="O202" s="5" t="s">
        <v>3</v>
      </c>
      <c r="P202" s="16" t="s">
        <v>3</v>
      </c>
    </row>
    <row r="203" spans="2:16" x14ac:dyDescent="0.25">
      <c r="B203" s="18" t="s">
        <v>1577</v>
      </c>
      <c r="C203" s="44" t="s">
        <v>3153</v>
      </c>
      <c r="D203" s="20" t="s">
        <v>3007</v>
      </c>
      <c r="E203" s="51" t="s">
        <v>3</v>
      </c>
      <c r="F203" s="11">
        <v>43993</v>
      </c>
      <c r="G203" s="5" t="s">
        <v>191</v>
      </c>
      <c r="H203" s="2"/>
      <c r="I203" s="4">
        <v>6000000</v>
      </c>
      <c r="J203" s="4">
        <v>6000000</v>
      </c>
      <c r="K203" s="4">
        <v>0</v>
      </c>
      <c r="L203" s="2"/>
      <c r="M203" s="5" t="s">
        <v>4287</v>
      </c>
      <c r="N203" s="5" t="s">
        <v>3943</v>
      </c>
      <c r="O203" s="5" t="s">
        <v>3</v>
      </c>
      <c r="P203" s="16" t="s">
        <v>3</v>
      </c>
    </row>
    <row r="204" spans="2:16" x14ac:dyDescent="0.25">
      <c r="B204" s="18" t="s">
        <v>2663</v>
      </c>
      <c r="C204" s="44" t="s">
        <v>3154</v>
      </c>
      <c r="D204" s="20" t="s">
        <v>1308</v>
      </c>
      <c r="E204" s="51" t="s">
        <v>3</v>
      </c>
      <c r="F204" s="11">
        <v>43993</v>
      </c>
      <c r="G204" s="5" t="s">
        <v>191</v>
      </c>
      <c r="H204" s="2"/>
      <c r="I204" s="4">
        <v>6000000</v>
      </c>
      <c r="J204" s="4">
        <v>6000000</v>
      </c>
      <c r="K204" s="4">
        <v>0</v>
      </c>
      <c r="L204" s="2"/>
      <c r="M204" s="5" t="s">
        <v>4287</v>
      </c>
      <c r="N204" s="5" t="s">
        <v>3943</v>
      </c>
      <c r="O204" s="5" t="s">
        <v>3</v>
      </c>
      <c r="P204" s="16" t="s">
        <v>3</v>
      </c>
    </row>
    <row r="205" spans="2:16" x14ac:dyDescent="0.25">
      <c r="B205" s="18" t="s">
        <v>3779</v>
      </c>
      <c r="C205" s="44" t="s">
        <v>1757</v>
      </c>
      <c r="D205" s="20" t="s">
        <v>1578</v>
      </c>
      <c r="E205" s="51" t="s">
        <v>3</v>
      </c>
      <c r="F205" s="11">
        <v>43993</v>
      </c>
      <c r="G205" s="5" t="s">
        <v>191</v>
      </c>
      <c r="H205" s="2"/>
      <c r="I205" s="4">
        <v>3000000</v>
      </c>
      <c r="J205" s="4">
        <v>3000000</v>
      </c>
      <c r="K205" s="4">
        <v>0</v>
      </c>
      <c r="L205" s="2"/>
      <c r="M205" s="5" t="s">
        <v>4287</v>
      </c>
      <c r="N205" s="5" t="s">
        <v>3943</v>
      </c>
      <c r="O205" s="5" t="s">
        <v>3</v>
      </c>
      <c r="P205" s="16" t="s">
        <v>3</v>
      </c>
    </row>
    <row r="206" spans="2:16" x14ac:dyDescent="0.25">
      <c r="B206" s="18" t="s">
        <v>503</v>
      </c>
      <c r="C206" s="44" t="s">
        <v>998</v>
      </c>
      <c r="D206" s="20" t="s">
        <v>647</v>
      </c>
      <c r="E206" s="51" t="s">
        <v>3</v>
      </c>
      <c r="F206" s="11">
        <v>44028</v>
      </c>
      <c r="G206" s="5" t="s">
        <v>3268</v>
      </c>
      <c r="H206" s="2"/>
      <c r="I206" s="4">
        <v>9056250</v>
      </c>
      <c r="J206" s="4">
        <v>9000000</v>
      </c>
      <c r="K206" s="4">
        <v>98781</v>
      </c>
      <c r="L206" s="2"/>
      <c r="M206" s="5" t="s">
        <v>3</v>
      </c>
      <c r="N206" s="5" t="s">
        <v>648</v>
      </c>
      <c r="O206" s="5" t="s">
        <v>928</v>
      </c>
      <c r="P206" s="16" t="s">
        <v>3</v>
      </c>
    </row>
    <row r="207" spans="2:16" x14ac:dyDescent="0.25">
      <c r="B207" s="18" t="s">
        <v>1923</v>
      </c>
      <c r="C207" s="44" t="s">
        <v>1875</v>
      </c>
      <c r="D207" s="20" t="s">
        <v>2605</v>
      </c>
      <c r="E207" s="51" t="s">
        <v>3</v>
      </c>
      <c r="F207" s="11">
        <v>44084</v>
      </c>
      <c r="G207" s="5" t="s">
        <v>2994</v>
      </c>
      <c r="H207" s="2"/>
      <c r="I207" s="4">
        <v>12996992</v>
      </c>
      <c r="J207" s="4">
        <v>13000000</v>
      </c>
      <c r="K207" s="4">
        <v>0</v>
      </c>
      <c r="L207" s="2"/>
      <c r="M207" s="5" t="s">
        <v>3</v>
      </c>
      <c r="N207" s="5" t="s">
        <v>444</v>
      </c>
      <c r="O207" s="5" t="s">
        <v>928</v>
      </c>
      <c r="P207" s="16" t="s">
        <v>3</v>
      </c>
    </row>
    <row r="208" spans="2:16" x14ac:dyDescent="0.25">
      <c r="B208" s="18" t="s">
        <v>3008</v>
      </c>
      <c r="C208" s="44" t="s">
        <v>450</v>
      </c>
      <c r="D208" s="20" t="s">
        <v>2605</v>
      </c>
      <c r="E208" s="51" t="s">
        <v>3</v>
      </c>
      <c r="F208" s="11">
        <v>43987</v>
      </c>
      <c r="G208" s="5" t="s">
        <v>2994</v>
      </c>
      <c r="H208" s="2"/>
      <c r="I208" s="4">
        <v>3249872</v>
      </c>
      <c r="J208" s="4">
        <v>3250000</v>
      </c>
      <c r="K208" s="4">
        <v>0</v>
      </c>
      <c r="L208" s="2"/>
      <c r="M208" s="5" t="s">
        <v>3</v>
      </c>
      <c r="N208" s="5" t="s">
        <v>444</v>
      </c>
      <c r="O208" s="5" t="s">
        <v>928</v>
      </c>
      <c r="P208" s="16" t="s">
        <v>3</v>
      </c>
    </row>
    <row r="209" spans="2:16" x14ac:dyDescent="0.25">
      <c r="B209" s="18" t="s">
        <v>4136</v>
      </c>
      <c r="C209" s="44" t="s">
        <v>451</v>
      </c>
      <c r="D209" s="20" t="s">
        <v>783</v>
      </c>
      <c r="E209" s="51" t="s">
        <v>3</v>
      </c>
      <c r="F209" s="11">
        <v>43987</v>
      </c>
      <c r="G209" s="5" t="s">
        <v>2994</v>
      </c>
      <c r="H209" s="2"/>
      <c r="I209" s="4">
        <v>1999788</v>
      </c>
      <c r="J209" s="4">
        <v>2000000</v>
      </c>
      <c r="K209" s="4">
        <v>0</v>
      </c>
      <c r="L209" s="2"/>
      <c r="M209" s="5" t="s">
        <v>3</v>
      </c>
      <c r="N209" s="5" t="s">
        <v>444</v>
      </c>
      <c r="O209" s="5" t="s">
        <v>444</v>
      </c>
      <c r="P209" s="16" t="s">
        <v>3</v>
      </c>
    </row>
    <row r="210" spans="2:16" x14ac:dyDescent="0.25">
      <c r="B210" s="18" t="s">
        <v>1579</v>
      </c>
      <c r="C210" s="44" t="s">
        <v>1422</v>
      </c>
      <c r="D210" s="20" t="s">
        <v>1216</v>
      </c>
      <c r="E210" s="51" t="s">
        <v>3</v>
      </c>
      <c r="F210" s="11">
        <v>43873</v>
      </c>
      <c r="G210" s="5" t="s">
        <v>2994</v>
      </c>
      <c r="H210" s="2"/>
      <c r="I210" s="4">
        <v>5165300</v>
      </c>
      <c r="J210" s="4">
        <v>5000000</v>
      </c>
      <c r="K210" s="4">
        <v>13750</v>
      </c>
      <c r="L210" s="2"/>
      <c r="M210" s="5" t="s">
        <v>2519</v>
      </c>
      <c r="N210" s="5" t="s">
        <v>1216</v>
      </c>
      <c r="O210" s="5" t="s">
        <v>3</v>
      </c>
      <c r="P210" s="16" t="s">
        <v>3</v>
      </c>
    </row>
    <row r="211" spans="2:16" x14ac:dyDescent="0.25">
      <c r="B211" s="18" t="s">
        <v>2664</v>
      </c>
      <c r="C211" s="44" t="s">
        <v>346</v>
      </c>
      <c r="D211" s="20" t="s">
        <v>4404</v>
      </c>
      <c r="E211" s="51" t="s">
        <v>3</v>
      </c>
      <c r="F211" s="11">
        <v>43944</v>
      </c>
      <c r="G211" s="5" t="s">
        <v>999</v>
      </c>
      <c r="H211" s="2"/>
      <c r="I211" s="4">
        <v>3000000</v>
      </c>
      <c r="J211" s="4">
        <v>3000000</v>
      </c>
      <c r="K211" s="4">
        <v>0</v>
      </c>
      <c r="L211" s="2"/>
      <c r="M211" s="5" t="s">
        <v>1000</v>
      </c>
      <c r="N211" s="5" t="s">
        <v>999</v>
      </c>
      <c r="O211" s="5" t="s">
        <v>3</v>
      </c>
      <c r="P211" s="16" t="s">
        <v>3</v>
      </c>
    </row>
    <row r="212" spans="2:16" x14ac:dyDescent="0.25">
      <c r="B212" s="18" t="s">
        <v>3780</v>
      </c>
      <c r="C212" s="44" t="s">
        <v>2067</v>
      </c>
      <c r="D212" s="20" t="s">
        <v>1924</v>
      </c>
      <c r="E212" s="51" t="s">
        <v>3</v>
      </c>
      <c r="F212" s="11">
        <v>44056</v>
      </c>
      <c r="G212" s="5" t="s">
        <v>1293</v>
      </c>
      <c r="H212" s="2"/>
      <c r="I212" s="4">
        <v>3000000</v>
      </c>
      <c r="J212" s="4">
        <v>3000000</v>
      </c>
      <c r="K212" s="4">
        <v>0</v>
      </c>
      <c r="L212" s="2"/>
      <c r="M212" s="5" t="s">
        <v>3</v>
      </c>
      <c r="N212" s="5" t="s">
        <v>3383</v>
      </c>
      <c r="O212" s="5" t="s">
        <v>3</v>
      </c>
      <c r="P212" s="16" t="s">
        <v>3</v>
      </c>
    </row>
    <row r="213" spans="2:16" x14ac:dyDescent="0.25">
      <c r="B213" s="18" t="s">
        <v>504</v>
      </c>
      <c r="C213" s="44" t="s">
        <v>2845</v>
      </c>
      <c r="D213" s="20" t="s">
        <v>2522</v>
      </c>
      <c r="E213" s="51" t="s">
        <v>3</v>
      </c>
      <c r="F213" s="11">
        <v>44181</v>
      </c>
      <c r="G213" s="5" t="s">
        <v>191</v>
      </c>
      <c r="H213" s="2"/>
      <c r="I213" s="4">
        <v>3000000</v>
      </c>
      <c r="J213" s="4">
        <v>3000000</v>
      </c>
      <c r="K213" s="4">
        <v>0</v>
      </c>
      <c r="L213" s="2"/>
      <c r="M213" s="5" t="s">
        <v>3</v>
      </c>
      <c r="N213" s="5" t="s">
        <v>1425</v>
      </c>
      <c r="O213" s="5" t="s">
        <v>1425</v>
      </c>
      <c r="P213" s="16" t="s">
        <v>3</v>
      </c>
    </row>
    <row r="214" spans="2:16" x14ac:dyDescent="0.25">
      <c r="B214" s="18" t="s">
        <v>1580</v>
      </c>
      <c r="C214" s="44" t="s">
        <v>3161</v>
      </c>
      <c r="D214" s="20" t="s">
        <v>2846</v>
      </c>
      <c r="E214" s="51" t="s">
        <v>3</v>
      </c>
      <c r="F214" s="11">
        <v>43990</v>
      </c>
      <c r="G214" s="5" t="s">
        <v>1557</v>
      </c>
      <c r="H214" s="2"/>
      <c r="I214" s="4">
        <v>3164550</v>
      </c>
      <c r="J214" s="4">
        <v>3000000</v>
      </c>
      <c r="K214" s="4">
        <v>3208</v>
      </c>
      <c r="L214" s="2"/>
      <c r="M214" s="5" t="s">
        <v>84</v>
      </c>
      <c r="N214" s="5" t="s">
        <v>1763</v>
      </c>
      <c r="O214" s="5" t="s">
        <v>1763</v>
      </c>
      <c r="P214" s="16" t="s">
        <v>3</v>
      </c>
    </row>
    <row r="215" spans="2:16" x14ac:dyDescent="0.25">
      <c r="B215" s="18" t="s">
        <v>3009</v>
      </c>
      <c r="C215" s="44" t="s">
        <v>3948</v>
      </c>
      <c r="D215" s="20" t="s">
        <v>3384</v>
      </c>
      <c r="E215" s="51" t="s">
        <v>3</v>
      </c>
      <c r="F215" s="11">
        <v>44194</v>
      </c>
      <c r="G215" s="5" t="s">
        <v>191</v>
      </c>
      <c r="H215" s="2"/>
      <c r="I215" s="4">
        <v>5000000</v>
      </c>
      <c r="J215" s="4">
        <v>5000000</v>
      </c>
      <c r="K215" s="4">
        <v>0</v>
      </c>
      <c r="L215" s="2"/>
      <c r="M215" s="5" t="s">
        <v>3</v>
      </c>
      <c r="N215" s="5" t="s">
        <v>3384</v>
      </c>
      <c r="O215" s="5" t="s">
        <v>3</v>
      </c>
      <c r="P215" s="16" t="s">
        <v>3</v>
      </c>
    </row>
    <row r="216" spans="2:16" x14ac:dyDescent="0.25">
      <c r="B216" s="18" t="s">
        <v>4137</v>
      </c>
      <c r="C216" s="44" t="s">
        <v>3456</v>
      </c>
      <c r="D216" s="20" t="s">
        <v>1271</v>
      </c>
      <c r="E216" s="51" t="s">
        <v>3</v>
      </c>
      <c r="F216" s="11">
        <v>44029</v>
      </c>
      <c r="G216" s="5" t="s">
        <v>191</v>
      </c>
      <c r="H216" s="2"/>
      <c r="I216" s="4">
        <v>1693000</v>
      </c>
      <c r="J216" s="4">
        <v>1693000</v>
      </c>
      <c r="K216" s="4">
        <v>0</v>
      </c>
      <c r="L216" s="2"/>
      <c r="M216" s="5" t="s">
        <v>3</v>
      </c>
      <c r="N216" s="5" t="s">
        <v>162</v>
      </c>
      <c r="O216" s="5" t="s">
        <v>928</v>
      </c>
      <c r="P216" s="16" t="s">
        <v>3</v>
      </c>
    </row>
    <row r="217" spans="2:16" x14ac:dyDescent="0.25">
      <c r="B217" s="18" t="s">
        <v>825</v>
      </c>
      <c r="C217" s="44" t="s">
        <v>2149</v>
      </c>
      <c r="D217" s="20" t="s">
        <v>1271</v>
      </c>
      <c r="E217" s="51" t="s">
        <v>3</v>
      </c>
      <c r="F217" s="11">
        <v>44029</v>
      </c>
      <c r="G217" s="5" t="s">
        <v>191</v>
      </c>
      <c r="H217" s="2"/>
      <c r="I217" s="4">
        <v>1000000</v>
      </c>
      <c r="J217" s="4">
        <v>1000000</v>
      </c>
      <c r="K217" s="4">
        <v>0</v>
      </c>
      <c r="L217" s="2"/>
      <c r="M217" s="5" t="s">
        <v>3</v>
      </c>
      <c r="N217" s="5" t="s">
        <v>162</v>
      </c>
      <c r="O217" s="5" t="s">
        <v>928</v>
      </c>
      <c r="P217" s="16" t="s">
        <v>3</v>
      </c>
    </row>
    <row r="218" spans="2:16" x14ac:dyDescent="0.25">
      <c r="B218" s="18" t="s">
        <v>1925</v>
      </c>
      <c r="C218" s="44" t="s">
        <v>2150</v>
      </c>
      <c r="D218" s="20" t="s">
        <v>1271</v>
      </c>
      <c r="E218" s="51" t="s">
        <v>3</v>
      </c>
      <c r="F218" s="11">
        <v>44029</v>
      </c>
      <c r="G218" s="5" t="s">
        <v>191</v>
      </c>
      <c r="H218" s="2"/>
      <c r="I218" s="4">
        <v>3300000</v>
      </c>
      <c r="J218" s="4">
        <v>3300000</v>
      </c>
      <c r="K218" s="4">
        <v>0</v>
      </c>
      <c r="L218" s="2"/>
      <c r="M218" s="5" t="s">
        <v>3</v>
      </c>
      <c r="N218" s="5" t="s">
        <v>162</v>
      </c>
      <c r="O218" s="5" t="s">
        <v>928</v>
      </c>
      <c r="P218" s="16" t="s">
        <v>3</v>
      </c>
    </row>
    <row r="219" spans="2:16" x14ac:dyDescent="0.25">
      <c r="B219" s="18" t="s">
        <v>3010</v>
      </c>
      <c r="C219" s="44" t="s">
        <v>86</v>
      </c>
      <c r="D219" s="20" t="s">
        <v>4293</v>
      </c>
      <c r="E219" s="51" t="s">
        <v>3</v>
      </c>
      <c r="F219" s="11">
        <v>44055</v>
      </c>
      <c r="G219" s="5" t="s">
        <v>1557</v>
      </c>
      <c r="H219" s="2"/>
      <c r="I219" s="4">
        <v>1850000</v>
      </c>
      <c r="J219" s="4">
        <v>1850000</v>
      </c>
      <c r="K219" s="4">
        <v>0</v>
      </c>
      <c r="L219" s="2"/>
      <c r="M219" s="5" t="s">
        <v>351</v>
      </c>
      <c r="N219" s="5" t="s">
        <v>4293</v>
      </c>
      <c r="O219" s="5" t="s">
        <v>3</v>
      </c>
      <c r="P219" s="16" t="s">
        <v>3</v>
      </c>
    </row>
    <row r="220" spans="2:16" x14ac:dyDescent="0.25">
      <c r="B220" s="18" t="s">
        <v>505</v>
      </c>
      <c r="C220" s="44" t="s">
        <v>1427</v>
      </c>
      <c r="D220" s="20" t="s">
        <v>1767</v>
      </c>
      <c r="E220" s="51" t="s">
        <v>3</v>
      </c>
      <c r="F220" s="11">
        <v>43844</v>
      </c>
      <c r="G220" s="5" t="s">
        <v>191</v>
      </c>
      <c r="H220" s="2"/>
      <c r="I220" s="4">
        <v>4982050</v>
      </c>
      <c r="J220" s="4">
        <v>5000000</v>
      </c>
      <c r="K220" s="4">
        <v>0</v>
      </c>
      <c r="L220" s="2"/>
      <c r="M220" s="5" t="s">
        <v>3950</v>
      </c>
      <c r="N220" s="5" t="s">
        <v>1217</v>
      </c>
      <c r="O220" s="5" t="s">
        <v>928</v>
      </c>
      <c r="P220" s="16" t="s">
        <v>3</v>
      </c>
    </row>
    <row r="221" spans="2:16" x14ac:dyDescent="0.25">
      <c r="B221" s="18" t="s">
        <v>1581</v>
      </c>
      <c r="C221" s="44" t="s">
        <v>354</v>
      </c>
      <c r="D221" s="20" t="s">
        <v>1767</v>
      </c>
      <c r="E221" s="51" t="s">
        <v>3</v>
      </c>
      <c r="F221" s="11">
        <v>44047</v>
      </c>
      <c r="G221" s="5" t="s">
        <v>2994</v>
      </c>
      <c r="H221" s="2"/>
      <c r="I221" s="4">
        <v>19966200</v>
      </c>
      <c r="J221" s="4">
        <v>20000000</v>
      </c>
      <c r="K221" s="4">
        <v>0</v>
      </c>
      <c r="L221" s="2"/>
      <c r="M221" s="5" t="s">
        <v>3950</v>
      </c>
      <c r="N221" s="5" t="s">
        <v>1217</v>
      </c>
      <c r="O221" s="5" t="s">
        <v>928</v>
      </c>
      <c r="P221" s="16" t="s">
        <v>3</v>
      </c>
    </row>
    <row r="222" spans="2:16" x14ac:dyDescent="0.25">
      <c r="B222" s="18" t="s">
        <v>2665</v>
      </c>
      <c r="C222" s="44" t="s">
        <v>658</v>
      </c>
      <c r="D222" s="20" t="s">
        <v>2070</v>
      </c>
      <c r="E222" s="51" t="s">
        <v>3</v>
      </c>
      <c r="F222" s="11">
        <v>43994</v>
      </c>
      <c r="G222" s="5" t="s">
        <v>1309</v>
      </c>
      <c r="H222" s="2"/>
      <c r="I222" s="4">
        <v>10553500</v>
      </c>
      <c r="J222" s="4">
        <v>10000000</v>
      </c>
      <c r="K222" s="4">
        <v>3694</v>
      </c>
      <c r="L222" s="2"/>
      <c r="M222" s="5" t="s">
        <v>4294</v>
      </c>
      <c r="N222" s="5" t="s">
        <v>2070</v>
      </c>
      <c r="O222" s="5" t="s">
        <v>3</v>
      </c>
      <c r="P222" s="16" t="s">
        <v>3</v>
      </c>
    </row>
    <row r="223" spans="2:16" x14ac:dyDescent="0.25">
      <c r="B223" s="18" t="s">
        <v>3781</v>
      </c>
      <c r="C223" s="44" t="s">
        <v>87</v>
      </c>
      <c r="D223" s="20" t="s">
        <v>2070</v>
      </c>
      <c r="E223" s="51" t="s">
        <v>3</v>
      </c>
      <c r="F223" s="11">
        <v>44074</v>
      </c>
      <c r="G223" s="5" t="s">
        <v>1926</v>
      </c>
      <c r="H223" s="2"/>
      <c r="I223" s="4">
        <v>2000000</v>
      </c>
      <c r="J223" s="4">
        <v>2000000</v>
      </c>
      <c r="K223" s="4">
        <v>0</v>
      </c>
      <c r="L223" s="2"/>
      <c r="M223" s="5" t="s">
        <v>4294</v>
      </c>
      <c r="N223" s="5" t="s">
        <v>2070</v>
      </c>
      <c r="O223" s="5" t="s">
        <v>3</v>
      </c>
      <c r="P223" s="16" t="s">
        <v>3</v>
      </c>
    </row>
    <row r="224" spans="2:16" x14ac:dyDescent="0.25">
      <c r="B224" s="18" t="s">
        <v>826</v>
      </c>
      <c r="C224" s="44" t="s">
        <v>2526</v>
      </c>
      <c r="D224" s="20" t="s">
        <v>1429</v>
      </c>
      <c r="E224" s="51" t="s">
        <v>3</v>
      </c>
      <c r="F224" s="11">
        <v>43985</v>
      </c>
      <c r="G224" s="5" t="s">
        <v>1104</v>
      </c>
      <c r="H224" s="2"/>
      <c r="I224" s="4">
        <v>13269840</v>
      </c>
      <c r="J224" s="4">
        <v>13000000</v>
      </c>
      <c r="K224" s="4">
        <v>7222</v>
      </c>
      <c r="L224" s="2"/>
      <c r="M224" s="5" t="s">
        <v>358</v>
      </c>
      <c r="N224" s="5" t="s">
        <v>2852</v>
      </c>
      <c r="O224" s="5" t="s">
        <v>2527</v>
      </c>
      <c r="P224" s="16" t="s">
        <v>3</v>
      </c>
    </row>
    <row r="225" spans="2:16" x14ac:dyDescent="0.25">
      <c r="B225" s="18" t="s">
        <v>1927</v>
      </c>
      <c r="C225" s="44" t="s">
        <v>3166</v>
      </c>
      <c r="D225" s="20" t="s">
        <v>1430</v>
      </c>
      <c r="E225" s="51" t="s">
        <v>3</v>
      </c>
      <c r="F225" s="11">
        <v>44083</v>
      </c>
      <c r="G225" s="5" t="s">
        <v>999</v>
      </c>
      <c r="H225" s="2"/>
      <c r="I225" s="4">
        <v>4999950</v>
      </c>
      <c r="J225" s="4">
        <v>5000000</v>
      </c>
      <c r="K225" s="4">
        <v>0</v>
      </c>
      <c r="L225" s="2"/>
      <c r="M225" s="5" t="s">
        <v>3</v>
      </c>
      <c r="N225" s="5" t="s">
        <v>2072</v>
      </c>
      <c r="O225" s="5" t="s">
        <v>928</v>
      </c>
      <c r="P225" s="16" t="s">
        <v>3</v>
      </c>
    </row>
    <row r="226" spans="2:16" x14ac:dyDescent="0.25">
      <c r="B226" s="18" t="s">
        <v>3011</v>
      </c>
      <c r="C226" s="44" t="s">
        <v>3723</v>
      </c>
      <c r="D226" s="20" t="s">
        <v>2967</v>
      </c>
      <c r="E226" s="51" t="s">
        <v>3</v>
      </c>
      <c r="F226" s="11">
        <v>44132</v>
      </c>
      <c r="G226" s="5" t="s">
        <v>4394</v>
      </c>
      <c r="H226" s="2"/>
      <c r="I226" s="4">
        <v>1942258</v>
      </c>
      <c r="J226" s="4">
        <v>1955703</v>
      </c>
      <c r="K226" s="4">
        <v>3478</v>
      </c>
      <c r="L226" s="2"/>
      <c r="M226" s="5" t="s">
        <v>3</v>
      </c>
      <c r="N226" s="5" t="s">
        <v>3237</v>
      </c>
      <c r="O226" s="5" t="s">
        <v>928</v>
      </c>
      <c r="P226" s="16" t="s">
        <v>3</v>
      </c>
    </row>
    <row r="227" spans="2:16" x14ac:dyDescent="0.25">
      <c r="B227" s="18" t="s">
        <v>4138</v>
      </c>
      <c r="C227" s="44" t="s">
        <v>2857</v>
      </c>
      <c r="D227" s="20" t="s">
        <v>1582</v>
      </c>
      <c r="E227" s="51" t="s">
        <v>3</v>
      </c>
      <c r="F227" s="11">
        <v>44123</v>
      </c>
      <c r="G227" s="5" t="s">
        <v>4396</v>
      </c>
      <c r="H227" s="2"/>
      <c r="I227" s="4">
        <v>14140212</v>
      </c>
      <c r="J227" s="4">
        <v>14000000</v>
      </c>
      <c r="K227" s="4">
        <v>0</v>
      </c>
      <c r="L227" s="2"/>
      <c r="M227" s="5" t="s">
        <v>4296</v>
      </c>
      <c r="N227" s="5" t="s">
        <v>664</v>
      </c>
      <c r="O227" s="5" t="s">
        <v>3</v>
      </c>
      <c r="P227" s="16" t="s">
        <v>3</v>
      </c>
    </row>
    <row r="228" spans="2:16" x14ac:dyDescent="0.25">
      <c r="B228" s="18" t="s">
        <v>827</v>
      </c>
      <c r="C228" s="44" t="s">
        <v>2074</v>
      </c>
      <c r="D228" s="20" t="s">
        <v>2389</v>
      </c>
      <c r="E228" s="51" t="s">
        <v>3</v>
      </c>
      <c r="F228" s="11">
        <v>43985</v>
      </c>
      <c r="G228" s="5" t="s">
        <v>1557</v>
      </c>
      <c r="H228" s="2"/>
      <c r="I228" s="4">
        <v>9888120</v>
      </c>
      <c r="J228" s="4">
        <v>9000000</v>
      </c>
      <c r="K228" s="4">
        <v>49875</v>
      </c>
      <c r="L228" s="2"/>
      <c r="M228" s="5" t="s">
        <v>93</v>
      </c>
      <c r="N228" s="5" t="s">
        <v>3630</v>
      </c>
      <c r="O228" s="5" t="s">
        <v>3</v>
      </c>
      <c r="P228" s="16" t="s">
        <v>3</v>
      </c>
    </row>
    <row r="229" spans="2:16" x14ac:dyDescent="0.25">
      <c r="B229" s="18" t="s">
        <v>1928</v>
      </c>
      <c r="C229" s="44" t="s">
        <v>2076</v>
      </c>
      <c r="D229" s="20" t="s">
        <v>1222</v>
      </c>
      <c r="E229" s="51" t="s">
        <v>3</v>
      </c>
      <c r="F229" s="11">
        <v>43992</v>
      </c>
      <c r="G229" s="5" t="s">
        <v>2994</v>
      </c>
      <c r="H229" s="2"/>
      <c r="I229" s="4">
        <v>2499750</v>
      </c>
      <c r="J229" s="4">
        <v>2500000</v>
      </c>
      <c r="K229" s="4">
        <v>0</v>
      </c>
      <c r="L229" s="2"/>
      <c r="M229" s="5" t="s">
        <v>3</v>
      </c>
      <c r="N229" s="5" t="s">
        <v>1222</v>
      </c>
      <c r="O229" s="5" t="s">
        <v>3</v>
      </c>
      <c r="P229" s="16" t="s">
        <v>3</v>
      </c>
    </row>
    <row r="230" spans="2:16" x14ac:dyDescent="0.25">
      <c r="B230" s="18" t="s">
        <v>3782</v>
      </c>
      <c r="C230" s="44" t="s">
        <v>364</v>
      </c>
      <c r="D230" s="20" t="s">
        <v>3012</v>
      </c>
      <c r="E230" s="51" t="s">
        <v>3</v>
      </c>
      <c r="F230" s="11">
        <v>43985</v>
      </c>
      <c r="G230" s="5" t="s">
        <v>1557</v>
      </c>
      <c r="H230" s="2"/>
      <c r="I230" s="4">
        <v>5330600</v>
      </c>
      <c r="J230" s="4">
        <v>5000000</v>
      </c>
      <c r="K230" s="4">
        <v>39444</v>
      </c>
      <c r="L230" s="2"/>
      <c r="M230" s="5" t="s">
        <v>1779</v>
      </c>
      <c r="N230" s="5" t="s">
        <v>2528</v>
      </c>
      <c r="O230" s="5" t="s">
        <v>3</v>
      </c>
      <c r="P230" s="16" t="s">
        <v>3</v>
      </c>
    </row>
    <row r="231" spans="2:16" x14ac:dyDescent="0.25">
      <c r="B231" s="18" t="s">
        <v>506</v>
      </c>
      <c r="C231" s="44" t="s">
        <v>1009</v>
      </c>
      <c r="D231" s="20" t="s">
        <v>2297</v>
      </c>
      <c r="E231" s="51" t="s">
        <v>3</v>
      </c>
      <c r="F231" s="11">
        <v>44083</v>
      </c>
      <c r="G231" s="5" t="s">
        <v>1310</v>
      </c>
      <c r="H231" s="2"/>
      <c r="I231" s="4">
        <v>4000000</v>
      </c>
      <c r="J231" s="4">
        <v>4000000</v>
      </c>
      <c r="K231" s="4">
        <v>0</v>
      </c>
      <c r="L231" s="2"/>
      <c r="M231" s="5" t="s">
        <v>3</v>
      </c>
      <c r="N231" s="5" t="s">
        <v>3631</v>
      </c>
      <c r="O231" s="5" t="s">
        <v>2079</v>
      </c>
      <c r="P231" s="16" t="s">
        <v>3</v>
      </c>
    </row>
    <row r="232" spans="2:16" x14ac:dyDescent="0.25">
      <c r="B232" s="18" t="s">
        <v>1929</v>
      </c>
      <c r="C232" s="44" t="s">
        <v>3389</v>
      </c>
      <c r="D232" s="20" t="s">
        <v>2297</v>
      </c>
      <c r="E232" s="51" t="s">
        <v>3</v>
      </c>
      <c r="F232" s="11">
        <v>44083</v>
      </c>
      <c r="G232" s="5" t="s">
        <v>1310</v>
      </c>
      <c r="H232" s="2"/>
      <c r="I232" s="4">
        <v>4000000</v>
      </c>
      <c r="J232" s="4">
        <v>4000000</v>
      </c>
      <c r="K232" s="4">
        <v>0</v>
      </c>
      <c r="L232" s="2"/>
      <c r="M232" s="5" t="s">
        <v>3</v>
      </c>
      <c r="N232" s="5" t="s">
        <v>3631</v>
      </c>
      <c r="O232" s="5" t="s">
        <v>2079</v>
      </c>
      <c r="P232" s="16" t="s">
        <v>3</v>
      </c>
    </row>
    <row r="233" spans="2:16" x14ac:dyDescent="0.25">
      <c r="B233" s="18" t="s">
        <v>3013</v>
      </c>
      <c r="C233" s="44" t="s">
        <v>3970</v>
      </c>
      <c r="D233" s="20" t="s">
        <v>1930</v>
      </c>
      <c r="E233" s="51" t="s">
        <v>3</v>
      </c>
      <c r="F233" s="11">
        <v>43889</v>
      </c>
      <c r="G233" s="5" t="s">
        <v>1104</v>
      </c>
      <c r="H233" s="2"/>
      <c r="I233" s="4">
        <v>4861800</v>
      </c>
      <c r="J233" s="4">
        <v>4900000</v>
      </c>
      <c r="K233" s="4">
        <v>12244</v>
      </c>
      <c r="L233" s="2"/>
      <c r="M233" s="5" t="s">
        <v>95</v>
      </c>
      <c r="N233" s="5" t="s">
        <v>3971</v>
      </c>
      <c r="O233" s="5" t="s">
        <v>3</v>
      </c>
      <c r="P233" s="16" t="s">
        <v>3</v>
      </c>
    </row>
    <row r="234" spans="2:16" x14ac:dyDescent="0.25">
      <c r="B234" s="18" t="s">
        <v>4139</v>
      </c>
      <c r="C234" s="44" t="s">
        <v>1012</v>
      </c>
      <c r="D234" s="20" t="s">
        <v>599</v>
      </c>
      <c r="E234" s="51" t="s">
        <v>3</v>
      </c>
      <c r="F234" s="11">
        <v>43948</v>
      </c>
      <c r="G234" s="5" t="s">
        <v>999</v>
      </c>
      <c r="H234" s="2"/>
      <c r="I234" s="4">
        <v>4987350</v>
      </c>
      <c r="J234" s="4">
        <v>5000000</v>
      </c>
      <c r="K234" s="4">
        <v>0</v>
      </c>
      <c r="L234" s="2"/>
      <c r="M234" s="5" t="s">
        <v>3</v>
      </c>
      <c r="N234" s="5" t="s">
        <v>599</v>
      </c>
      <c r="O234" s="5" t="s">
        <v>3</v>
      </c>
      <c r="P234" s="16" t="s">
        <v>3</v>
      </c>
    </row>
    <row r="235" spans="2:16" x14ac:dyDescent="0.25">
      <c r="B235" s="18" t="s">
        <v>828</v>
      </c>
      <c r="C235" s="44" t="s">
        <v>2300</v>
      </c>
      <c r="D235" s="20" t="s">
        <v>3637</v>
      </c>
      <c r="E235" s="51" t="s">
        <v>3</v>
      </c>
      <c r="F235" s="11">
        <v>43964</v>
      </c>
      <c r="G235" s="5" t="s">
        <v>2994</v>
      </c>
      <c r="H235" s="2"/>
      <c r="I235" s="4">
        <v>4984750</v>
      </c>
      <c r="J235" s="4">
        <v>5000000</v>
      </c>
      <c r="K235" s="4">
        <v>0</v>
      </c>
      <c r="L235" s="2"/>
      <c r="M235" s="5" t="s">
        <v>2301</v>
      </c>
      <c r="N235" s="5" t="s">
        <v>3637</v>
      </c>
      <c r="O235" s="5" t="s">
        <v>3</v>
      </c>
      <c r="P235" s="16" t="s">
        <v>3</v>
      </c>
    </row>
    <row r="236" spans="2:16" x14ac:dyDescent="0.25">
      <c r="B236" s="18" t="s">
        <v>1931</v>
      </c>
      <c r="C236" s="44" t="s">
        <v>96</v>
      </c>
      <c r="D236" s="20" t="s">
        <v>1433</v>
      </c>
      <c r="E236" s="51" t="s">
        <v>3</v>
      </c>
      <c r="F236" s="11">
        <v>43873</v>
      </c>
      <c r="G236" s="5" t="s">
        <v>2994</v>
      </c>
      <c r="H236" s="2"/>
      <c r="I236" s="4">
        <v>20425258</v>
      </c>
      <c r="J236" s="4">
        <v>20300000</v>
      </c>
      <c r="K236" s="4">
        <v>21244</v>
      </c>
      <c r="L236" s="2"/>
      <c r="M236" s="5" t="s">
        <v>3</v>
      </c>
      <c r="N236" s="5" t="s">
        <v>3974</v>
      </c>
      <c r="O236" s="5" t="s">
        <v>928</v>
      </c>
      <c r="P236" s="16" t="s">
        <v>3</v>
      </c>
    </row>
    <row r="237" spans="2:16" x14ac:dyDescent="0.25">
      <c r="B237" s="18" t="s">
        <v>3014</v>
      </c>
      <c r="C237" s="44" t="s">
        <v>3394</v>
      </c>
      <c r="D237" s="20" t="s">
        <v>1433</v>
      </c>
      <c r="E237" s="51" t="s">
        <v>3</v>
      </c>
      <c r="F237" s="11">
        <v>43951</v>
      </c>
      <c r="G237" s="5" t="s">
        <v>198</v>
      </c>
      <c r="H237" s="2"/>
      <c r="I237" s="4">
        <v>4978250</v>
      </c>
      <c r="J237" s="4">
        <v>5000000</v>
      </c>
      <c r="K237" s="4">
        <v>0</v>
      </c>
      <c r="L237" s="2"/>
      <c r="M237" s="5" t="s">
        <v>3</v>
      </c>
      <c r="N237" s="5" t="s">
        <v>3974</v>
      </c>
      <c r="O237" s="5" t="s">
        <v>928</v>
      </c>
      <c r="P237" s="16" t="s">
        <v>3</v>
      </c>
    </row>
    <row r="238" spans="2:16" x14ac:dyDescent="0.25">
      <c r="B238" s="18" t="s">
        <v>4140</v>
      </c>
      <c r="C238" s="44" t="s">
        <v>97</v>
      </c>
      <c r="D238" s="20" t="s">
        <v>2084</v>
      </c>
      <c r="E238" s="51" t="s">
        <v>3</v>
      </c>
      <c r="F238" s="11">
        <v>43873</v>
      </c>
      <c r="G238" s="5" t="s">
        <v>2994</v>
      </c>
      <c r="H238" s="2"/>
      <c r="I238" s="4">
        <v>11485824</v>
      </c>
      <c r="J238" s="4">
        <v>11200000</v>
      </c>
      <c r="K238" s="4">
        <v>14778</v>
      </c>
      <c r="L238" s="2"/>
      <c r="M238" s="5" t="s">
        <v>675</v>
      </c>
      <c r="N238" s="5" t="s">
        <v>3396</v>
      </c>
      <c r="O238" s="5" t="s">
        <v>928</v>
      </c>
      <c r="P238" s="16" t="s">
        <v>3</v>
      </c>
    </row>
    <row r="239" spans="2:16" x14ac:dyDescent="0.25">
      <c r="B239" s="18" t="s">
        <v>829</v>
      </c>
      <c r="C239" s="44" t="s">
        <v>3177</v>
      </c>
      <c r="D239" s="20" t="s">
        <v>2666</v>
      </c>
      <c r="E239" s="51" t="s">
        <v>3</v>
      </c>
      <c r="F239" s="11">
        <v>43873</v>
      </c>
      <c r="G239" s="5" t="s">
        <v>2994</v>
      </c>
      <c r="H239" s="2"/>
      <c r="I239" s="4">
        <v>8599381</v>
      </c>
      <c r="J239" s="4">
        <v>8300000</v>
      </c>
      <c r="K239" s="4">
        <v>62849</v>
      </c>
      <c r="L239" s="2"/>
      <c r="M239" s="5" t="s">
        <v>1434</v>
      </c>
      <c r="N239" s="5" t="s">
        <v>1784</v>
      </c>
      <c r="O239" s="5" t="s">
        <v>3</v>
      </c>
      <c r="P239" s="16" t="s">
        <v>3</v>
      </c>
    </row>
    <row r="240" spans="2:16" x14ac:dyDescent="0.25">
      <c r="B240" s="18" t="s">
        <v>2667</v>
      </c>
      <c r="C240" s="44" t="s">
        <v>1878</v>
      </c>
      <c r="D240" s="20" t="s">
        <v>164</v>
      </c>
      <c r="E240" s="51" t="s">
        <v>3</v>
      </c>
      <c r="F240" s="11">
        <v>44020</v>
      </c>
      <c r="G240" s="5" t="s">
        <v>4397</v>
      </c>
      <c r="H240" s="2"/>
      <c r="I240" s="4">
        <v>4000000</v>
      </c>
      <c r="J240" s="4">
        <v>4000000</v>
      </c>
      <c r="K240" s="4">
        <v>0</v>
      </c>
      <c r="L240" s="2"/>
      <c r="M240" s="5" t="s">
        <v>3</v>
      </c>
      <c r="N240" s="5" t="s">
        <v>2153</v>
      </c>
      <c r="O240" s="5" t="s">
        <v>928</v>
      </c>
      <c r="P240" s="16" t="s">
        <v>3</v>
      </c>
    </row>
    <row r="241" spans="2:16" x14ac:dyDescent="0.25">
      <c r="B241" s="18" t="s">
        <v>4141</v>
      </c>
      <c r="C241" s="44" t="s">
        <v>1518</v>
      </c>
      <c r="D241" s="20" t="s">
        <v>164</v>
      </c>
      <c r="E241" s="51" t="s">
        <v>3</v>
      </c>
      <c r="F241" s="11">
        <v>44020</v>
      </c>
      <c r="G241" s="5" t="s">
        <v>4397</v>
      </c>
      <c r="H241" s="2"/>
      <c r="I241" s="4">
        <v>3500000</v>
      </c>
      <c r="J241" s="4">
        <v>3500000</v>
      </c>
      <c r="K241" s="4">
        <v>0</v>
      </c>
      <c r="L241" s="2"/>
      <c r="M241" s="5" t="s">
        <v>3</v>
      </c>
      <c r="N241" s="5" t="s">
        <v>2153</v>
      </c>
      <c r="O241" s="5" t="s">
        <v>928</v>
      </c>
      <c r="P241" s="16" t="s">
        <v>3</v>
      </c>
    </row>
    <row r="242" spans="2:16" x14ac:dyDescent="0.25">
      <c r="B242" s="18" t="s">
        <v>830</v>
      </c>
      <c r="C242" s="44" t="s">
        <v>2086</v>
      </c>
      <c r="D242" s="20" t="s">
        <v>3178</v>
      </c>
      <c r="E242" s="51" t="s">
        <v>3</v>
      </c>
      <c r="F242" s="11">
        <v>43985</v>
      </c>
      <c r="G242" s="5" t="s">
        <v>1557</v>
      </c>
      <c r="H242" s="2"/>
      <c r="I242" s="4">
        <v>10706000</v>
      </c>
      <c r="J242" s="4">
        <v>10000000</v>
      </c>
      <c r="K242" s="4">
        <v>93333</v>
      </c>
      <c r="L242" s="2"/>
      <c r="M242" s="5" t="s">
        <v>1225</v>
      </c>
      <c r="N242" s="5" t="s">
        <v>3178</v>
      </c>
      <c r="O242" s="5" t="s">
        <v>3</v>
      </c>
      <c r="P242" s="16" t="s">
        <v>3</v>
      </c>
    </row>
    <row r="243" spans="2:16" x14ac:dyDescent="0.25">
      <c r="B243" s="18" t="s">
        <v>1932</v>
      </c>
      <c r="C243" s="44" t="s">
        <v>3977</v>
      </c>
      <c r="D243" s="20" t="s">
        <v>3397</v>
      </c>
      <c r="E243" s="51" t="s">
        <v>3</v>
      </c>
      <c r="F243" s="11">
        <v>43985</v>
      </c>
      <c r="G243" s="5" t="s">
        <v>1557</v>
      </c>
      <c r="H243" s="2"/>
      <c r="I243" s="4">
        <v>5099600</v>
      </c>
      <c r="J243" s="4">
        <v>5000000</v>
      </c>
      <c r="K243" s="4">
        <v>27033</v>
      </c>
      <c r="L243" s="2"/>
      <c r="M243" s="5" t="s">
        <v>3</v>
      </c>
      <c r="N243" s="5" t="s">
        <v>3397</v>
      </c>
      <c r="O243" s="5" t="s">
        <v>3</v>
      </c>
      <c r="P243" s="16" t="s">
        <v>3</v>
      </c>
    </row>
    <row r="244" spans="2:16" x14ac:dyDescent="0.25">
      <c r="B244" s="18" t="s">
        <v>3015</v>
      </c>
      <c r="C244" s="44" t="s">
        <v>3979</v>
      </c>
      <c r="D244" s="20" t="s">
        <v>677</v>
      </c>
      <c r="E244" s="51" t="s">
        <v>3</v>
      </c>
      <c r="F244" s="11">
        <v>43910</v>
      </c>
      <c r="G244" s="5" t="s">
        <v>198</v>
      </c>
      <c r="H244" s="2"/>
      <c r="I244" s="4">
        <v>4497570</v>
      </c>
      <c r="J244" s="4">
        <v>4500000</v>
      </c>
      <c r="K244" s="4">
        <v>0</v>
      </c>
      <c r="L244" s="2"/>
      <c r="M244" s="5" t="s">
        <v>3</v>
      </c>
      <c r="N244" s="5" t="s">
        <v>3400</v>
      </c>
      <c r="O244" s="5" t="s">
        <v>2532</v>
      </c>
      <c r="P244" s="16" t="s">
        <v>3</v>
      </c>
    </row>
    <row r="245" spans="2:16" x14ac:dyDescent="0.25">
      <c r="B245" s="18" t="s">
        <v>4142</v>
      </c>
      <c r="C245" s="44" t="s">
        <v>3457</v>
      </c>
      <c r="D245" s="20" t="s">
        <v>3724</v>
      </c>
      <c r="E245" s="51" t="s">
        <v>3</v>
      </c>
      <c r="F245" s="11">
        <v>44050</v>
      </c>
      <c r="G245" s="5" t="s">
        <v>198</v>
      </c>
      <c r="H245" s="2"/>
      <c r="I245" s="4">
        <v>6333387</v>
      </c>
      <c r="J245" s="4">
        <v>6330393</v>
      </c>
      <c r="K245" s="4">
        <v>0</v>
      </c>
      <c r="L245" s="2"/>
      <c r="M245" s="5" t="s">
        <v>3</v>
      </c>
      <c r="N245" s="5" t="s">
        <v>4089</v>
      </c>
      <c r="O245" s="5" t="s">
        <v>928</v>
      </c>
      <c r="P245" s="16" t="s">
        <v>3</v>
      </c>
    </row>
    <row r="246" spans="2:16" x14ac:dyDescent="0.25">
      <c r="B246" s="18" t="s">
        <v>831</v>
      </c>
      <c r="C246" s="44" t="s">
        <v>1881</v>
      </c>
      <c r="D246" s="20" t="s">
        <v>3724</v>
      </c>
      <c r="E246" s="51" t="s">
        <v>3</v>
      </c>
      <c r="F246" s="11">
        <v>44040</v>
      </c>
      <c r="G246" s="5" t="s">
        <v>191</v>
      </c>
      <c r="H246" s="2"/>
      <c r="I246" s="4">
        <v>2445652</v>
      </c>
      <c r="J246" s="4">
        <v>2479749</v>
      </c>
      <c r="K246" s="4">
        <v>2149</v>
      </c>
      <c r="L246" s="2"/>
      <c r="M246" s="5" t="s">
        <v>3</v>
      </c>
      <c r="N246" s="5" t="s">
        <v>4089</v>
      </c>
      <c r="O246" s="5" t="s">
        <v>928</v>
      </c>
      <c r="P246" s="16" t="s">
        <v>3</v>
      </c>
    </row>
    <row r="247" spans="2:16" x14ac:dyDescent="0.25">
      <c r="B247" s="18" t="s">
        <v>1933</v>
      </c>
      <c r="C247" s="44" t="s">
        <v>788</v>
      </c>
      <c r="D247" s="20" t="s">
        <v>3724</v>
      </c>
      <c r="E247" s="51" t="s">
        <v>3</v>
      </c>
      <c r="F247" s="11">
        <v>44034</v>
      </c>
      <c r="G247" s="5" t="s">
        <v>2994</v>
      </c>
      <c r="H247" s="2"/>
      <c r="I247" s="4">
        <v>2712086</v>
      </c>
      <c r="J247" s="4">
        <v>2699852</v>
      </c>
      <c r="K247" s="4">
        <v>699</v>
      </c>
      <c r="L247" s="2"/>
      <c r="M247" s="5" t="s">
        <v>3</v>
      </c>
      <c r="N247" s="5" t="s">
        <v>4089</v>
      </c>
      <c r="O247" s="5" t="s">
        <v>928</v>
      </c>
      <c r="P247" s="16" t="s">
        <v>3</v>
      </c>
    </row>
    <row r="248" spans="2:16" x14ac:dyDescent="0.25">
      <c r="B248" s="18" t="s">
        <v>3016</v>
      </c>
      <c r="C248" s="44" t="s">
        <v>1274</v>
      </c>
      <c r="D248" s="20" t="s">
        <v>3724</v>
      </c>
      <c r="E248" s="51" t="s">
        <v>3</v>
      </c>
      <c r="F248" s="11">
        <v>44166</v>
      </c>
      <c r="G248" s="5" t="s">
        <v>198</v>
      </c>
      <c r="H248" s="2"/>
      <c r="I248" s="4">
        <v>781722</v>
      </c>
      <c r="J248" s="4">
        <v>759040</v>
      </c>
      <c r="K248" s="4">
        <v>1000</v>
      </c>
      <c r="L248" s="2"/>
      <c r="M248" s="5" t="s">
        <v>3</v>
      </c>
      <c r="N248" s="5" t="s">
        <v>4089</v>
      </c>
      <c r="O248" s="5" t="s">
        <v>928</v>
      </c>
      <c r="P248" s="16" t="s">
        <v>3</v>
      </c>
    </row>
    <row r="249" spans="2:16" x14ac:dyDescent="0.25">
      <c r="B249" s="18" t="s">
        <v>4143</v>
      </c>
      <c r="C249" s="44" t="s">
        <v>2613</v>
      </c>
      <c r="D249" s="20" t="s">
        <v>3724</v>
      </c>
      <c r="E249" s="51" t="s">
        <v>3</v>
      </c>
      <c r="F249" s="11">
        <v>44040</v>
      </c>
      <c r="G249" s="5" t="s">
        <v>191</v>
      </c>
      <c r="H249" s="2"/>
      <c r="I249" s="4">
        <v>5602705</v>
      </c>
      <c r="J249" s="4">
        <v>5576565</v>
      </c>
      <c r="K249" s="4">
        <v>5840</v>
      </c>
      <c r="L249" s="2"/>
      <c r="M249" s="5" t="s">
        <v>3</v>
      </c>
      <c r="N249" s="5" t="s">
        <v>4089</v>
      </c>
      <c r="O249" s="5" t="s">
        <v>928</v>
      </c>
      <c r="P249" s="16" t="s">
        <v>3</v>
      </c>
    </row>
    <row r="250" spans="2:16" x14ac:dyDescent="0.25">
      <c r="B250" s="18" t="s">
        <v>1934</v>
      </c>
      <c r="C250" s="44" t="s">
        <v>2349</v>
      </c>
      <c r="D250" s="20" t="s">
        <v>3724</v>
      </c>
      <c r="E250" s="51" t="s">
        <v>3</v>
      </c>
      <c r="F250" s="11">
        <v>44131</v>
      </c>
      <c r="G250" s="5" t="s">
        <v>191</v>
      </c>
      <c r="H250" s="2"/>
      <c r="I250" s="4">
        <v>5114047</v>
      </c>
      <c r="J250" s="4">
        <v>4978689</v>
      </c>
      <c r="K250" s="4">
        <v>5190</v>
      </c>
      <c r="L250" s="2"/>
      <c r="M250" s="5" t="s">
        <v>3</v>
      </c>
      <c r="N250" s="5" t="s">
        <v>4089</v>
      </c>
      <c r="O250" s="5" t="s">
        <v>928</v>
      </c>
      <c r="P250" s="16" t="s">
        <v>3</v>
      </c>
    </row>
    <row r="251" spans="2:16" x14ac:dyDescent="0.25">
      <c r="B251" s="18" t="s">
        <v>3017</v>
      </c>
      <c r="C251" s="44" t="s">
        <v>3238</v>
      </c>
      <c r="D251" s="20" t="s">
        <v>1080</v>
      </c>
      <c r="E251" s="51" t="s">
        <v>3</v>
      </c>
      <c r="F251" s="11">
        <v>43845</v>
      </c>
      <c r="G251" s="5" t="s">
        <v>4397</v>
      </c>
      <c r="H251" s="2"/>
      <c r="I251" s="4">
        <v>1983333</v>
      </c>
      <c r="J251" s="4">
        <v>1983333</v>
      </c>
      <c r="K251" s="4">
        <v>0</v>
      </c>
      <c r="L251" s="2"/>
      <c r="M251" s="5" t="s">
        <v>3</v>
      </c>
      <c r="N251" s="5" t="s">
        <v>1275</v>
      </c>
      <c r="O251" s="5" t="s">
        <v>928</v>
      </c>
      <c r="P251" s="16" t="s">
        <v>3</v>
      </c>
    </row>
    <row r="252" spans="2:16" x14ac:dyDescent="0.25">
      <c r="B252" s="18" t="s">
        <v>4144</v>
      </c>
      <c r="C252" s="44" t="s">
        <v>4312</v>
      </c>
      <c r="D252" s="20" t="s">
        <v>678</v>
      </c>
      <c r="E252" s="51" t="s">
        <v>3</v>
      </c>
      <c r="F252" s="11">
        <v>44047</v>
      </c>
      <c r="G252" s="5" t="s">
        <v>1104</v>
      </c>
      <c r="H252" s="2"/>
      <c r="I252" s="4">
        <v>17644060</v>
      </c>
      <c r="J252" s="4">
        <v>17000000</v>
      </c>
      <c r="K252" s="4">
        <v>102111</v>
      </c>
      <c r="L252" s="2"/>
      <c r="M252" s="5" t="s">
        <v>103</v>
      </c>
      <c r="N252" s="5" t="s">
        <v>1440</v>
      </c>
      <c r="O252" s="5" t="s">
        <v>1441</v>
      </c>
      <c r="P252" s="16" t="s">
        <v>3</v>
      </c>
    </row>
    <row r="253" spans="2:16" x14ac:dyDescent="0.25">
      <c r="B253" s="18" t="s">
        <v>832</v>
      </c>
      <c r="C253" s="44" t="s">
        <v>2874</v>
      </c>
      <c r="D253" s="20" t="s">
        <v>203</v>
      </c>
      <c r="E253" s="51" t="s">
        <v>3</v>
      </c>
      <c r="F253" s="11">
        <v>44126</v>
      </c>
      <c r="G253" s="5" t="s">
        <v>999</v>
      </c>
      <c r="H253" s="2"/>
      <c r="I253" s="4">
        <v>10000000</v>
      </c>
      <c r="J253" s="4">
        <v>10000000</v>
      </c>
      <c r="K253" s="4">
        <v>0</v>
      </c>
      <c r="L253" s="2"/>
      <c r="M253" s="5" t="s">
        <v>4313</v>
      </c>
      <c r="N253" s="5" t="s">
        <v>1019</v>
      </c>
      <c r="O253" s="5" t="s">
        <v>3</v>
      </c>
      <c r="P253" s="16" t="s">
        <v>3</v>
      </c>
    </row>
    <row r="254" spans="2:16" x14ac:dyDescent="0.25">
      <c r="B254" s="18" t="s">
        <v>1935</v>
      </c>
      <c r="C254" s="44" t="s">
        <v>792</v>
      </c>
      <c r="D254" s="20" t="s">
        <v>3725</v>
      </c>
      <c r="E254" s="51" t="s">
        <v>3</v>
      </c>
      <c r="F254" s="11">
        <v>44060</v>
      </c>
      <c r="G254" s="5" t="s">
        <v>4394</v>
      </c>
      <c r="H254" s="2"/>
      <c r="I254" s="4">
        <v>15593212</v>
      </c>
      <c r="J254" s="4">
        <v>15600000</v>
      </c>
      <c r="K254" s="4">
        <v>0</v>
      </c>
      <c r="L254" s="2"/>
      <c r="M254" s="5" t="s">
        <v>3</v>
      </c>
      <c r="N254" s="5" t="s">
        <v>165</v>
      </c>
      <c r="O254" s="5" t="s">
        <v>928</v>
      </c>
      <c r="P254" s="16" t="s">
        <v>3</v>
      </c>
    </row>
    <row r="255" spans="2:16" x14ac:dyDescent="0.25">
      <c r="B255" s="18" t="s">
        <v>3018</v>
      </c>
      <c r="C255" s="44" t="s">
        <v>372</v>
      </c>
      <c r="D255" s="20" t="s">
        <v>373</v>
      </c>
      <c r="E255" s="51" t="s">
        <v>3</v>
      </c>
      <c r="F255" s="11">
        <v>44047</v>
      </c>
      <c r="G255" s="5" t="s">
        <v>1104</v>
      </c>
      <c r="H255" s="2"/>
      <c r="I255" s="4">
        <v>10163650</v>
      </c>
      <c r="J255" s="4">
        <v>10000000</v>
      </c>
      <c r="K255" s="4">
        <v>11958</v>
      </c>
      <c r="L255" s="2"/>
      <c r="M255" s="5" t="s">
        <v>683</v>
      </c>
      <c r="N255" s="5" t="s">
        <v>104</v>
      </c>
      <c r="O255" s="5" t="s">
        <v>928</v>
      </c>
      <c r="P255" s="16" t="s">
        <v>3</v>
      </c>
    </row>
    <row r="256" spans="2:16" x14ac:dyDescent="0.25">
      <c r="B256" s="18" t="s">
        <v>4145</v>
      </c>
      <c r="C256" s="44" t="s">
        <v>166</v>
      </c>
      <c r="D256" s="20" t="s">
        <v>1520</v>
      </c>
      <c r="E256" s="51" t="s">
        <v>3</v>
      </c>
      <c r="F256" s="11">
        <v>44083</v>
      </c>
      <c r="G256" s="5" t="s">
        <v>4394</v>
      </c>
      <c r="H256" s="2"/>
      <c r="I256" s="4">
        <v>9733615</v>
      </c>
      <c r="J256" s="4">
        <v>9737500</v>
      </c>
      <c r="K256" s="4">
        <v>0</v>
      </c>
      <c r="L256" s="2"/>
      <c r="M256" s="5" t="s">
        <v>3</v>
      </c>
      <c r="N256" s="5" t="s">
        <v>2350</v>
      </c>
      <c r="O256" s="5" t="s">
        <v>928</v>
      </c>
      <c r="P256" s="16" t="s">
        <v>3</v>
      </c>
    </row>
    <row r="257" spans="2:16" x14ac:dyDescent="0.25">
      <c r="B257" s="18" t="s">
        <v>833</v>
      </c>
      <c r="C257" s="44" t="s">
        <v>2878</v>
      </c>
      <c r="D257" s="20" t="s">
        <v>105</v>
      </c>
      <c r="E257" s="51" t="s">
        <v>3</v>
      </c>
      <c r="F257" s="11">
        <v>44054</v>
      </c>
      <c r="G257" s="5" t="s">
        <v>4394</v>
      </c>
      <c r="H257" s="2"/>
      <c r="I257" s="4">
        <v>1000000</v>
      </c>
      <c r="J257" s="4">
        <v>1000000</v>
      </c>
      <c r="K257" s="4">
        <v>0</v>
      </c>
      <c r="L257" s="2"/>
      <c r="M257" s="5" t="s">
        <v>106</v>
      </c>
      <c r="N257" s="5" t="s">
        <v>3647</v>
      </c>
      <c r="O257" s="5" t="s">
        <v>928</v>
      </c>
      <c r="P257" s="16" t="s">
        <v>3</v>
      </c>
    </row>
    <row r="258" spans="2:16" x14ac:dyDescent="0.25">
      <c r="B258" s="18" t="s">
        <v>2179</v>
      </c>
      <c r="C258" s="44" t="s">
        <v>375</v>
      </c>
      <c r="D258" s="20" t="s">
        <v>4314</v>
      </c>
      <c r="E258" s="51" t="s">
        <v>3</v>
      </c>
      <c r="F258" s="11">
        <v>44082</v>
      </c>
      <c r="G258" s="5" t="s">
        <v>2994</v>
      </c>
      <c r="H258" s="2"/>
      <c r="I258" s="4">
        <v>1400000</v>
      </c>
      <c r="J258" s="4">
        <v>1400000</v>
      </c>
      <c r="K258" s="4">
        <v>0</v>
      </c>
      <c r="L258" s="2"/>
      <c r="M258" s="5" t="s">
        <v>2093</v>
      </c>
      <c r="N258" s="5" t="s">
        <v>3404</v>
      </c>
      <c r="O258" s="5" t="s">
        <v>928</v>
      </c>
      <c r="P258" s="16" t="s">
        <v>3</v>
      </c>
    </row>
    <row r="259" spans="2:16" x14ac:dyDescent="0.25">
      <c r="B259" s="18" t="s">
        <v>3269</v>
      </c>
      <c r="C259" s="44" t="s">
        <v>2974</v>
      </c>
      <c r="D259" s="20" t="s">
        <v>2154</v>
      </c>
      <c r="E259" s="51" t="s">
        <v>3</v>
      </c>
      <c r="F259" s="11">
        <v>44042</v>
      </c>
      <c r="G259" s="5" t="s">
        <v>480</v>
      </c>
      <c r="H259" s="2"/>
      <c r="I259" s="4">
        <v>4249456</v>
      </c>
      <c r="J259" s="4">
        <v>4250000</v>
      </c>
      <c r="K259" s="4">
        <v>0</v>
      </c>
      <c r="L259" s="2"/>
      <c r="M259" s="5" t="s">
        <v>3</v>
      </c>
      <c r="N259" s="5" t="s">
        <v>2351</v>
      </c>
      <c r="O259" s="5" t="s">
        <v>928</v>
      </c>
      <c r="P259" s="16" t="s">
        <v>3</v>
      </c>
    </row>
    <row r="260" spans="2:16" x14ac:dyDescent="0.25">
      <c r="B260" s="18" t="s">
        <v>204</v>
      </c>
      <c r="C260" s="44" t="s">
        <v>2614</v>
      </c>
      <c r="D260" s="20" t="s">
        <v>2154</v>
      </c>
      <c r="E260" s="51" t="s">
        <v>3</v>
      </c>
      <c r="F260" s="11">
        <v>44042</v>
      </c>
      <c r="G260" s="5" t="s">
        <v>480</v>
      </c>
      <c r="H260" s="2"/>
      <c r="I260" s="4">
        <v>1999967</v>
      </c>
      <c r="J260" s="4">
        <v>2000000</v>
      </c>
      <c r="K260" s="4">
        <v>0</v>
      </c>
      <c r="L260" s="2"/>
      <c r="M260" s="5" t="s">
        <v>3</v>
      </c>
      <c r="N260" s="5" t="s">
        <v>2351</v>
      </c>
      <c r="O260" s="5" t="s">
        <v>928</v>
      </c>
      <c r="P260" s="16" t="s">
        <v>3</v>
      </c>
    </row>
    <row r="261" spans="2:16" x14ac:dyDescent="0.25">
      <c r="B261" s="18" t="s">
        <v>1311</v>
      </c>
      <c r="C261" s="44" t="s">
        <v>2615</v>
      </c>
      <c r="D261" s="20" t="s">
        <v>4097</v>
      </c>
      <c r="E261" s="51" t="s">
        <v>3</v>
      </c>
      <c r="F261" s="11">
        <v>44054</v>
      </c>
      <c r="G261" s="5" t="s">
        <v>1104</v>
      </c>
      <c r="H261" s="2"/>
      <c r="I261" s="4">
        <v>13559277</v>
      </c>
      <c r="J261" s="4">
        <v>13511180</v>
      </c>
      <c r="K261" s="4">
        <v>0</v>
      </c>
      <c r="L261" s="2"/>
      <c r="M261" s="5" t="s">
        <v>3</v>
      </c>
      <c r="N261" s="5" t="s">
        <v>2616</v>
      </c>
      <c r="O261" s="5" t="s">
        <v>928</v>
      </c>
      <c r="P261" s="16" t="s">
        <v>3</v>
      </c>
    </row>
    <row r="262" spans="2:16" x14ac:dyDescent="0.25">
      <c r="B262" s="18" t="s">
        <v>2390</v>
      </c>
      <c r="C262" s="44" t="s">
        <v>3188</v>
      </c>
      <c r="D262" s="20" t="s">
        <v>1230</v>
      </c>
      <c r="E262" s="51" t="s">
        <v>3</v>
      </c>
      <c r="F262" s="11">
        <v>43913</v>
      </c>
      <c r="G262" s="5" t="s">
        <v>2994</v>
      </c>
      <c r="H262" s="2"/>
      <c r="I262" s="4">
        <v>1500000</v>
      </c>
      <c r="J262" s="4">
        <v>1500000</v>
      </c>
      <c r="K262" s="4">
        <v>0</v>
      </c>
      <c r="L262" s="2"/>
      <c r="M262" s="5" t="s">
        <v>1790</v>
      </c>
      <c r="N262" s="5" t="s">
        <v>2095</v>
      </c>
      <c r="O262" s="5" t="s">
        <v>2095</v>
      </c>
      <c r="P262" s="16" t="s">
        <v>3</v>
      </c>
    </row>
    <row r="263" spans="2:16" x14ac:dyDescent="0.25">
      <c r="B263" s="18" t="s">
        <v>3783</v>
      </c>
      <c r="C263" s="44" t="s">
        <v>2307</v>
      </c>
      <c r="D263" s="20" t="s">
        <v>3988</v>
      </c>
      <c r="E263" s="51" t="s">
        <v>3</v>
      </c>
      <c r="F263" s="11">
        <v>44054</v>
      </c>
      <c r="G263" s="5" t="s">
        <v>2994</v>
      </c>
      <c r="H263" s="2"/>
      <c r="I263" s="4">
        <v>4997650</v>
      </c>
      <c r="J263" s="4">
        <v>5000000</v>
      </c>
      <c r="K263" s="4">
        <v>0</v>
      </c>
      <c r="L263" s="2"/>
      <c r="M263" s="5" t="s">
        <v>685</v>
      </c>
      <c r="N263" s="5" t="s">
        <v>3988</v>
      </c>
      <c r="O263" s="5" t="s">
        <v>3</v>
      </c>
      <c r="P263" s="16" t="s">
        <v>3</v>
      </c>
    </row>
    <row r="264" spans="2:16" x14ac:dyDescent="0.25">
      <c r="B264" s="18" t="s">
        <v>507</v>
      </c>
      <c r="C264" s="44" t="s">
        <v>4371</v>
      </c>
      <c r="D264" s="20" t="s">
        <v>3460</v>
      </c>
      <c r="E264" s="51" t="s">
        <v>3</v>
      </c>
      <c r="F264" s="11">
        <v>44068</v>
      </c>
      <c r="G264" s="5" t="s">
        <v>4395</v>
      </c>
      <c r="H264" s="2"/>
      <c r="I264" s="4">
        <v>9785662</v>
      </c>
      <c r="J264" s="4">
        <v>9787487</v>
      </c>
      <c r="K264" s="4">
        <v>0</v>
      </c>
      <c r="L264" s="2"/>
      <c r="M264" s="5" t="s">
        <v>3</v>
      </c>
      <c r="N264" s="5" t="s">
        <v>2617</v>
      </c>
      <c r="O264" s="5" t="s">
        <v>928</v>
      </c>
      <c r="P264" s="16" t="s">
        <v>3</v>
      </c>
    </row>
    <row r="265" spans="2:16" x14ac:dyDescent="0.25">
      <c r="B265" s="18" t="s">
        <v>1583</v>
      </c>
      <c r="C265" s="44" t="s">
        <v>2353</v>
      </c>
      <c r="D265" s="20" t="s">
        <v>3460</v>
      </c>
      <c r="E265" s="51" t="s">
        <v>3</v>
      </c>
      <c r="F265" s="11">
        <v>44068</v>
      </c>
      <c r="G265" s="5" t="s">
        <v>4395</v>
      </c>
      <c r="H265" s="2"/>
      <c r="I265" s="4">
        <v>4892884</v>
      </c>
      <c r="J265" s="4">
        <v>4893750</v>
      </c>
      <c r="K265" s="4">
        <v>0</v>
      </c>
      <c r="L265" s="2"/>
      <c r="M265" s="5" t="s">
        <v>3</v>
      </c>
      <c r="N265" s="5" t="s">
        <v>2617</v>
      </c>
      <c r="O265" s="5" t="s">
        <v>928</v>
      </c>
      <c r="P265" s="16" t="s">
        <v>3</v>
      </c>
    </row>
    <row r="266" spans="2:16" x14ac:dyDescent="0.25">
      <c r="B266" s="18" t="s">
        <v>2668</v>
      </c>
      <c r="C266" s="44" t="s">
        <v>107</v>
      </c>
      <c r="D266" s="20" t="s">
        <v>3490</v>
      </c>
      <c r="E266" s="51" t="s">
        <v>3</v>
      </c>
      <c r="F266" s="11">
        <v>43984</v>
      </c>
      <c r="G266" s="5" t="s">
        <v>1105</v>
      </c>
      <c r="H266" s="2"/>
      <c r="I266" s="4">
        <v>3995760</v>
      </c>
      <c r="J266" s="4">
        <v>4000000</v>
      </c>
      <c r="K266" s="4">
        <v>0</v>
      </c>
      <c r="L266" s="2"/>
      <c r="M266" s="5" t="s">
        <v>3102</v>
      </c>
      <c r="N266" s="5" t="s">
        <v>1184</v>
      </c>
      <c r="O266" s="5" t="s">
        <v>3</v>
      </c>
      <c r="P266" s="16" t="s">
        <v>3</v>
      </c>
    </row>
    <row r="267" spans="2:16" x14ac:dyDescent="0.25">
      <c r="B267" s="18" t="s">
        <v>3784</v>
      </c>
      <c r="C267" s="44" t="s">
        <v>110</v>
      </c>
      <c r="D267" s="20" t="s">
        <v>3649</v>
      </c>
      <c r="E267" s="51" t="s">
        <v>3</v>
      </c>
      <c r="F267" s="11">
        <v>43846</v>
      </c>
      <c r="G267" s="5" t="s">
        <v>1310</v>
      </c>
      <c r="H267" s="2"/>
      <c r="I267" s="4">
        <v>4989350</v>
      </c>
      <c r="J267" s="4">
        <v>5000000</v>
      </c>
      <c r="K267" s="4">
        <v>0</v>
      </c>
      <c r="L267" s="2"/>
      <c r="M267" s="5" t="s">
        <v>1022</v>
      </c>
      <c r="N267" s="5" t="s">
        <v>3407</v>
      </c>
      <c r="O267" s="5" t="s">
        <v>3992</v>
      </c>
      <c r="P267" s="16" t="s">
        <v>3</v>
      </c>
    </row>
    <row r="268" spans="2:16" x14ac:dyDescent="0.25">
      <c r="B268" s="18" t="s">
        <v>508</v>
      </c>
      <c r="C268" s="44" t="s">
        <v>112</v>
      </c>
      <c r="D268" s="20" t="s">
        <v>2097</v>
      </c>
      <c r="E268" s="51" t="s">
        <v>3</v>
      </c>
      <c r="F268" s="11">
        <v>43873</v>
      </c>
      <c r="G268" s="5" t="s">
        <v>2994</v>
      </c>
      <c r="H268" s="2"/>
      <c r="I268" s="4">
        <v>5812818</v>
      </c>
      <c r="J268" s="4">
        <v>5800000</v>
      </c>
      <c r="K268" s="4">
        <v>6235</v>
      </c>
      <c r="L268" s="2"/>
      <c r="M268" s="5" t="s">
        <v>688</v>
      </c>
      <c r="N268" s="5" t="s">
        <v>2097</v>
      </c>
      <c r="O268" s="5" t="s">
        <v>3</v>
      </c>
      <c r="P268" s="16" t="s">
        <v>3</v>
      </c>
    </row>
    <row r="269" spans="2:16" x14ac:dyDescent="0.25">
      <c r="B269" s="18" t="s">
        <v>1584</v>
      </c>
      <c r="C269" s="44" t="s">
        <v>455</v>
      </c>
      <c r="D269" s="20" t="s">
        <v>2354</v>
      </c>
      <c r="E269" s="51" t="s">
        <v>3</v>
      </c>
      <c r="F269" s="11">
        <v>43873</v>
      </c>
      <c r="G269" s="5" t="s">
        <v>2994</v>
      </c>
      <c r="H269" s="2"/>
      <c r="I269" s="4">
        <v>7114286</v>
      </c>
      <c r="J269" s="4">
        <v>6858532</v>
      </c>
      <c r="K269" s="4">
        <v>49290</v>
      </c>
      <c r="L269" s="2"/>
      <c r="M269" s="5" t="s">
        <v>3</v>
      </c>
      <c r="N269" s="5" t="s">
        <v>3728</v>
      </c>
      <c r="O269" s="5" t="s">
        <v>3728</v>
      </c>
      <c r="P269" s="16" t="s">
        <v>3</v>
      </c>
    </row>
    <row r="270" spans="2:16" x14ac:dyDescent="0.25">
      <c r="B270" s="18" t="s">
        <v>3491</v>
      </c>
      <c r="C270" s="44" t="s">
        <v>3995</v>
      </c>
      <c r="D270" s="20" t="s">
        <v>113</v>
      </c>
      <c r="E270" s="51" t="s">
        <v>3</v>
      </c>
      <c r="F270" s="11">
        <v>44166</v>
      </c>
      <c r="G270" s="5" t="s">
        <v>492</v>
      </c>
      <c r="H270" s="2"/>
      <c r="I270" s="4">
        <v>1000000</v>
      </c>
      <c r="J270" s="4">
        <v>1000000</v>
      </c>
      <c r="K270" s="4">
        <v>0</v>
      </c>
      <c r="L270" s="2"/>
      <c r="M270" s="5" t="s">
        <v>3</v>
      </c>
      <c r="N270" s="5" t="s">
        <v>113</v>
      </c>
      <c r="O270" s="5" t="s">
        <v>3</v>
      </c>
      <c r="P270" s="16" t="s">
        <v>3</v>
      </c>
    </row>
    <row r="271" spans="2:16" x14ac:dyDescent="0.25">
      <c r="B271" s="18" t="s">
        <v>205</v>
      </c>
      <c r="C271" s="44" t="s">
        <v>689</v>
      </c>
      <c r="D271" s="20" t="s">
        <v>380</v>
      </c>
      <c r="E271" s="51" t="s">
        <v>3</v>
      </c>
      <c r="F271" s="11">
        <v>43909</v>
      </c>
      <c r="G271" s="5" t="s">
        <v>191</v>
      </c>
      <c r="H271" s="2"/>
      <c r="I271" s="4">
        <v>4994750</v>
      </c>
      <c r="J271" s="4">
        <v>5000000</v>
      </c>
      <c r="K271" s="4">
        <v>0</v>
      </c>
      <c r="L271" s="2"/>
      <c r="M271" s="5" t="s">
        <v>2885</v>
      </c>
      <c r="N271" s="5" t="s">
        <v>380</v>
      </c>
      <c r="O271" s="5" t="s">
        <v>3</v>
      </c>
      <c r="P271" s="16" t="s">
        <v>3</v>
      </c>
    </row>
    <row r="272" spans="2:16" x14ac:dyDescent="0.25">
      <c r="B272" s="18" t="s">
        <v>1585</v>
      </c>
      <c r="C272" s="44" t="s">
        <v>2887</v>
      </c>
      <c r="D272" s="20" t="s">
        <v>1450</v>
      </c>
      <c r="E272" s="51" t="s">
        <v>3</v>
      </c>
      <c r="F272" s="11">
        <v>43999</v>
      </c>
      <c r="G272" s="5" t="s">
        <v>1557</v>
      </c>
      <c r="H272" s="2"/>
      <c r="I272" s="4">
        <v>4997750</v>
      </c>
      <c r="J272" s="4">
        <v>5000000</v>
      </c>
      <c r="K272" s="4">
        <v>0</v>
      </c>
      <c r="L272" s="2"/>
      <c r="M272" s="5" t="s">
        <v>3</v>
      </c>
      <c r="N272" s="5" t="s">
        <v>2309</v>
      </c>
      <c r="O272" s="5" t="s">
        <v>928</v>
      </c>
      <c r="P272" s="16" t="s">
        <v>3</v>
      </c>
    </row>
    <row r="273" spans="2:16" x14ac:dyDescent="0.25">
      <c r="B273" s="18" t="s">
        <v>2669</v>
      </c>
      <c r="C273" s="44" t="s">
        <v>3408</v>
      </c>
      <c r="D273" s="20" t="s">
        <v>1586</v>
      </c>
      <c r="E273" s="51" t="s">
        <v>3</v>
      </c>
      <c r="F273" s="11">
        <v>43985</v>
      </c>
      <c r="G273" s="5" t="s">
        <v>1104</v>
      </c>
      <c r="H273" s="2"/>
      <c r="I273" s="4">
        <v>10255900</v>
      </c>
      <c r="J273" s="4">
        <v>10000000</v>
      </c>
      <c r="K273" s="4">
        <v>16333</v>
      </c>
      <c r="L273" s="2"/>
      <c r="M273" s="5" t="s">
        <v>2543</v>
      </c>
      <c r="N273" s="5" t="s">
        <v>2542</v>
      </c>
      <c r="O273" s="5" t="s">
        <v>3</v>
      </c>
      <c r="P273" s="16" t="s">
        <v>3</v>
      </c>
    </row>
    <row r="274" spans="2:16" x14ac:dyDescent="0.25">
      <c r="B274" s="18" t="s">
        <v>3785</v>
      </c>
      <c r="C274" s="44" t="s">
        <v>4316</v>
      </c>
      <c r="D274" s="20" t="s">
        <v>2888</v>
      </c>
      <c r="E274" s="51" t="s">
        <v>3</v>
      </c>
      <c r="F274" s="11">
        <v>44082</v>
      </c>
      <c r="G274" s="5" t="s">
        <v>2994</v>
      </c>
      <c r="H274" s="2"/>
      <c r="I274" s="4">
        <v>4993500</v>
      </c>
      <c r="J274" s="4">
        <v>5000000</v>
      </c>
      <c r="K274" s="4">
        <v>0</v>
      </c>
      <c r="L274" s="2"/>
      <c r="M274" s="5" t="s">
        <v>4001</v>
      </c>
      <c r="N274" s="5" t="s">
        <v>3650</v>
      </c>
      <c r="O274" s="5" t="s">
        <v>115</v>
      </c>
      <c r="P274" s="16" t="s">
        <v>3</v>
      </c>
    </row>
    <row r="275" spans="2:16" x14ac:dyDescent="0.25">
      <c r="B275" s="18" t="s">
        <v>509</v>
      </c>
      <c r="C275" s="44" t="s">
        <v>381</v>
      </c>
      <c r="D275" s="20" t="s">
        <v>3652</v>
      </c>
      <c r="E275" s="51" t="s">
        <v>3</v>
      </c>
      <c r="F275" s="11">
        <v>44062</v>
      </c>
      <c r="G275" s="5" t="s">
        <v>2994</v>
      </c>
      <c r="H275" s="2"/>
      <c r="I275" s="4">
        <v>3000000</v>
      </c>
      <c r="J275" s="4">
        <v>3000000</v>
      </c>
      <c r="K275" s="4">
        <v>0</v>
      </c>
      <c r="L275" s="2"/>
      <c r="M275" s="5" t="s">
        <v>1027</v>
      </c>
      <c r="N275" s="5" t="s">
        <v>693</v>
      </c>
      <c r="O275" s="5" t="s">
        <v>382</v>
      </c>
      <c r="P275" s="16" t="s">
        <v>3</v>
      </c>
    </row>
    <row r="276" spans="2:16" x14ac:dyDescent="0.25">
      <c r="B276" s="18" t="s">
        <v>1587</v>
      </c>
      <c r="C276" s="44" t="s">
        <v>1522</v>
      </c>
      <c r="D276" s="20" t="s">
        <v>2355</v>
      </c>
      <c r="E276" s="51" t="s">
        <v>3</v>
      </c>
      <c r="F276" s="11">
        <v>44131</v>
      </c>
      <c r="G276" s="5" t="s">
        <v>191</v>
      </c>
      <c r="H276" s="2"/>
      <c r="I276" s="4">
        <v>12998889</v>
      </c>
      <c r="J276" s="4">
        <v>13000000</v>
      </c>
      <c r="K276" s="4">
        <v>0</v>
      </c>
      <c r="L276" s="2"/>
      <c r="M276" s="5" t="s">
        <v>3</v>
      </c>
      <c r="N276" s="5" t="s">
        <v>2355</v>
      </c>
      <c r="O276" s="5" t="s">
        <v>3</v>
      </c>
      <c r="P276" s="16" t="s">
        <v>3</v>
      </c>
    </row>
    <row r="277" spans="2:16" x14ac:dyDescent="0.25">
      <c r="B277" s="18" t="s">
        <v>2670</v>
      </c>
      <c r="C277" s="44" t="s">
        <v>1083</v>
      </c>
      <c r="D277" s="20" t="s">
        <v>167</v>
      </c>
      <c r="E277" s="51" t="s">
        <v>3</v>
      </c>
      <c r="F277" s="11">
        <v>43851</v>
      </c>
      <c r="G277" s="5" t="s">
        <v>191</v>
      </c>
      <c r="H277" s="2"/>
      <c r="I277" s="4">
        <v>9498226</v>
      </c>
      <c r="J277" s="4">
        <v>9500000</v>
      </c>
      <c r="K277" s="4">
        <v>0</v>
      </c>
      <c r="L277" s="2"/>
      <c r="M277" s="5" t="s">
        <v>3</v>
      </c>
      <c r="N277" s="5" t="s">
        <v>167</v>
      </c>
      <c r="O277" s="5" t="s">
        <v>3</v>
      </c>
      <c r="P277" s="16" t="s">
        <v>3</v>
      </c>
    </row>
    <row r="278" spans="2:16" x14ac:dyDescent="0.25">
      <c r="B278" s="18" t="s">
        <v>3786</v>
      </c>
      <c r="C278" s="44" t="s">
        <v>2544</v>
      </c>
      <c r="D278" s="20" t="s">
        <v>2180</v>
      </c>
      <c r="E278" s="51" t="s">
        <v>3</v>
      </c>
      <c r="F278" s="11">
        <v>43985</v>
      </c>
      <c r="G278" s="5" t="s">
        <v>1557</v>
      </c>
      <c r="H278" s="2"/>
      <c r="I278" s="4">
        <v>9489060</v>
      </c>
      <c r="J278" s="4">
        <v>9000000</v>
      </c>
      <c r="K278" s="4">
        <v>29925</v>
      </c>
      <c r="L278" s="2"/>
      <c r="M278" s="5" t="s">
        <v>1452</v>
      </c>
      <c r="N278" s="5" t="s">
        <v>3189</v>
      </c>
      <c r="O278" s="5" t="s">
        <v>3</v>
      </c>
      <c r="P278" s="16" t="s">
        <v>3</v>
      </c>
    </row>
    <row r="279" spans="2:16" x14ac:dyDescent="0.25">
      <c r="B279" s="18" t="s">
        <v>510</v>
      </c>
      <c r="C279" s="44" t="s">
        <v>2547</v>
      </c>
      <c r="D279" s="20" t="s">
        <v>3270</v>
      </c>
      <c r="E279" s="51" t="s">
        <v>3</v>
      </c>
      <c r="F279" s="11">
        <v>43873</v>
      </c>
      <c r="G279" s="5" t="s">
        <v>1104</v>
      </c>
      <c r="H279" s="2"/>
      <c r="I279" s="4">
        <v>10000950</v>
      </c>
      <c r="J279" s="4">
        <v>10000000</v>
      </c>
      <c r="K279" s="4">
        <v>2104</v>
      </c>
      <c r="L279" s="2"/>
      <c r="M279" s="5" t="s">
        <v>1805</v>
      </c>
      <c r="N279" s="5" t="s">
        <v>3409</v>
      </c>
      <c r="O279" s="5" t="s">
        <v>3</v>
      </c>
      <c r="P279" s="16" t="s">
        <v>3</v>
      </c>
    </row>
    <row r="280" spans="2:16" x14ac:dyDescent="0.25">
      <c r="B280" s="18" t="s">
        <v>2671</v>
      </c>
      <c r="C280" s="44" t="s">
        <v>3656</v>
      </c>
      <c r="D280" s="20" t="s">
        <v>2894</v>
      </c>
      <c r="E280" s="51" t="s">
        <v>3</v>
      </c>
      <c r="F280" s="11">
        <v>43998</v>
      </c>
      <c r="G280" s="5" t="s">
        <v>2994</v>
      </c>
      <c r="H280" s="2"/>
      <c r="I280" s="4">
        <v>2996760</v>
      </c>
      <c r="J280" s="4">
        <v>3000000</v>
      </c>
      <c r="K280" s="4">
        <v>0</v>
      </c>
      <c r="L280" s="2"/>
      <c r="M280" s="5" t="s">
        <v>2893</v>
      </c>
      <c r="N280" s="5" t="s">
        <v>3411</v>
      </c>
      <c r="O280" s="5" t="s">
        <v>3411</v>
      </c>
      <c r="P280" s="16" t="s">
        <v>3</v>
      </c>
    </row>
    <row r="281" spans="2:16" x14ac:dyDescent="0.25">
      <c r="B281" s="18" t="s">
        <v>3787</v>
      </c>
      <c r="C281" s="44" t="s">
        <v>2311</v>
      </c>
      <c r="D281" s="20" t="s">
        <v>834</v>
      </c>
      <c r="E281" s="51" t="s">
        <v>3</v>
      </c>
      <c r="F281" s="11">
        <v>43985</v>
      </c>
      <c r="G281" s="5" t="s">
        <v>1557</v>
      </c>
      <c r="H281" s="2"/>
      <c r="I281" s="4">
        <v>9698760</v>
      </c>
      <c r="J281" s="4">
        <v>9000000</v>
      </c>
      <c r="K281" s="4">
        <v>159375</v>
      </c>
      <c r="L281" s="2"/>
      <c r="M281" s="5" t="s">
        <v>2102</v>
      </c>
      <c r="N281" s="5" t="s">
        <v>118</v>
      </c>
      <c r="O281" s="5" t="s">
        <v>3</v>
      </c>
      <c r="P281" s="16" t="s">
        <v>3</v>
      </c>
    </row>
    <row r="282" spans="2:16" x14ac:dyDescent="0.25">
      <c r="B282" s="18" t="s">
        <v>511</v>
      </c>
      <c r="C282" s="44" t="s">
        <v>2161</v>
      </c>
      <c r="D282" s="20" t="s">
        <v>1523</v>
      </c>
      <c r="E282" s="51" t="s">
        <v>3</v>
      </c>
      <c r="F282" s="11">
        <v>44054</v>
      </c>
      <c r="G282" s="5" t="s">
        <v>191</v>
      </c>
      <c r="H282" s="2"/>
      <c r="I282" s="4">
        <v>13998249</v>
      </c>
      <c r="J282" s="4">
        <v>14000000</v>
      </c>
      <c r="K282" s="4">
        <v>0</v>
      </c>
      <c r="L282" s="2"/>
      <c r="M282" s="5" t="s">
        <v>3</v>
      </c>
      <c r="N282" s="5" t="s">
        <v>3246</v>
      </c>
      <c r="O282" s="5" t="s">
        <v>3246</v>
      </c>
      <c r="P282" s="16" t="s">
        <v>3</v>
      </c>
    </row>
    <row r="283" spans="2:16" x14ac:dyDescent="0.25">
      <c r="B283" s="18" t="s">
        <v>1588</v>
      </c>
      <c r="C283" s="44" t="s">
        <v>1892</v>
      </c>
      <c r="D283" s="20" t="s">
        <v>1523</v>
      </c>
      <c r="E283" s="51" t="s">
        <v>3</v>
      </c>
      <c r="F283" s="11">
        <v>44054</v>
      </c>
      <c r="G283" s="5" t="s">
        <v>191</v>
      </c>
      <c r="H283" s="2"/>
      <c r="I283" s="4">
        <v>3899704</v>
      </c>
      <c r="J283" s="4">
        <v>3900000</v>
      </c>
      <c r="K283" s="4">
        <v>0</v>
      </c>
      <c r="L283" s="2"/>
      <c r="M283" s="5" t="s">
        <v>3</v>
      </c>
      <c r="N283" s="5" t="s">
        <v>3246</v>
      </c>
      <c r="O283" s="5" t="s">
        <v>3246</v>
      </c>
      <c r="P283" s="16" t="s">
        <v>3</v>
      </c>
    </row>
    <row r="284" spans="2:16" x14ac:dyDescent="0.25">
      <c r="B284" s="18" t="s">
        <v>2672</v>
      </c>
      <c r="C284" s="44" t="s">
        <v>3194</v>
      </c>
      <c r="D284" s="20" t="s">
        <v>1109</v>
      </c>
      <c r="E284" s="51" t="s">
        <v>3</v>
      </c>
      <c r="F284" s="11">
        <v>44006</v>
      </c>
      <c r="G284" s="5" t="s">
        <v>1293</v>
      </c>
      <c r="H284" s="2"/>
      <c r="I284" s="4">
        <v>9950100</v>
      </c>
      <c r="J284" s="4">
        <v>10000000</v>
      </c>
      <c r="K284" s="4">
        <v>0</v>
      </c>
      <c r="L284" s="2"/>
      <c r="M284" s="5" t="s">
        <v>3</v>
      </c>
      <c r="N284" s="5" t="s">
        <v>1810</v>
      </c>
      <c r="O284" s="5" t="s">
        <v>3</v>
      </c>
      <c r="P284" s="16" t="s">
        <v>3</v>
      </c>
    </row>
    <row r="285" spans="2:16" x14ac:dyDescent="0.25">
      <c r="B285" s="18" t="s">
        <v>3788</v>
      </c>
      <c r="C285" s="44" t="s">
        <v>3657</v>
      </c>
      <c r="D285" s="20" t="s">
        <v>1239</v>
      </c>
      <c r="E285" s="51" t="s">
        <v>3</v>
      </c>
      <c r="F285" s="11">
        <v>44175</v>
      </c>
      <c r="G285" s="5" t="s">
        <v>4395</v>
      </c>
      <c r="H285" s="2"/>
      <c r="I285" s="4">
        <v>3000000</v>
      </c>
      <c r="J285" s="4">
        <v>3000000</v>
      </c>
      <c r="K285" s="4">
        <v>0</v>
      </c>
      <c r="L285" s="2"/>
      <c r="M285" s="5" t="s">
        <v>3</v>
      </c>
      <c r="N285" s="5" t="s">
        <v>4012</v>
      </c>
      <c r="O285" s="5" t="s">
        <v>1460</v>
      </c>
      <c r="P285" s="16" t="s">
        <v>3</v>
      </c>
    </row>
    <row r="286" spans="2:16" x14ac:dyDescent="0.25">
      <c r="B286" s="18" t="s">
        <v>512</v>
      </c>
      <c r="C286" s="44" t="s">
        <v>701</v>
      </c>
      <c r="D286" s="20" t="s">
        <v>120</v>
      </c>
      <c r="E286" s="51" t="s">
        <v>3310</v>
      </c>
      <c r="F286" s="11">
        <v>43985</v>
      </c>
      <c r="G286" s="5" t="s">
        <v>1557</v>
      </c>
      <c r="H286" s="2"/>
      <c r="I286" s="4">
        <v>5095550</v>
      </c>
      <c r="J286" s="4">
        <v>5000000</v>
      </c>
      <c r="K286" s="4">
        <v>52444</v>
      </c>
      <c r="L286" s="2"/>
      <c r="M286" s="5" t="s">
        <v>3</v>
      </c>
      <c r="N286" s="5" t="s">
        <v>121</v>
      </c>
      <c r="O286" s="5" t="s">
        <v>928</v>
      </c>
      <c r="P286" s="16" t="s">
        <v>3</v>
      </c>
    </row>
    <row r="287" spans="2:16" x14ac:dyDescent="0.25">
      <c r="B287" s="18" t="s">
        <v>1589</v>
      </c>
      <c r="C287" s="44" t="s">
        <v>1461</v>
      </c>
      <c r="D287" s="20" t="s">
        <v>4013</v>
      </c>
      <c r="E287" s="51" t="s">
        <v>3</v>
      </c>
      <c r="F287" s="11">
        <v>43985</v>
      </c>
      <c r="G287" s="5" t="s">
        <v>1557</v>
      </c>
      <c r="H287" s="2"/>
      <c r="I287" s="4">
        <v>9844740</v>
      </c>
      <c r="J287" s="4">
        <v>9000000</v>
      </c>
      <c r="K287" s="4">
        <v>82350</v>
      </c>
      <c r="L287" s="2"/>
      <c r="M287" s="5" t="s">
        <v>3658</v>
      </c>
      <c r="N287" s="5" t="s">
        <v>4013</v>
      </c>
      <c r="O287" s="5" t="s">
        <v>3</v>
      </c>
      <c r="P287" s="16" t="s">
        <v>3</v>
      </c>
    </row>
    <row r="288" spans="2:16" x14ac:dyDescent="0.25">
      <c r="B288" s="18" t="s">
        <v>2673</v>
      </c>
      <c r="C288" s="44" t="s">
        <v>387</v>
      </c>
      <c r="D288" s="20" t="s">
        <v>4013</v>
      </c>
      <c r="E288" s="51" t="s">
        <v>3310</v>
      </c>
      <c r="F288" s="11">
        <v>43837</v>
      </c>
      <c r="G288" s="5" t="s">
        <v>492</v>
      </c>
      <c r="H288" s="2"/>
      <c r="I288" s="4">
        <v>14971350</v>
      </c>
      <c r="J288" s="4">
        <v>15000000</v>
      </c>
      <c r="K288" s="4">
        <v>0</v>
      </c>
      <c r="L288" s="2"/>
      <c r="M288" s="5" t="s">
        <v>3658</v>
      </c>
      <c r="N288" s="5" t="s">
        <v>4013</v>
      </c>
      <c r="O288" s="5" t="s">
        <v>3</v>
      </c>
      <c r="P288" s="16" t="s">
        <v>3</v>
      </c>
    </row>
    <row r="289" spans="2:16" x14ac:dyDescent="0.25">
      <c r="B289" s="18" t="s">
        <v>4146</v>
      </c>
      <c r="C289" s="44" t="s">
        <v>3659</v>
      </c>
      <c r="D289" s="20" t="s">
        <v>1039</v>
      </c>
      <c r="E289" s="51" t="s">
        <v>3310</v>
      </c>
      <c r="F289" s="11">
        <v>43873</v>
      </c>
      <c r="G289" s="5" t="s">
        <v>2994</v>
      </c>
      <c r="H289" s="2"/>
      <c r="I289" s="4">
        <v>10074900</v>
      </c>
      <c r="J289" s="4">
        <v>10000000</v>
      </c>
      <c r="K289" s="4">
        <v>12500</v>
      </c>
      <c r="L289" s="2"/>
      <c r="M289" s="5" t="s">
        <v>4326</v>
      </c>
      <c r="N289" s="5" t="s">
        <v>2551</v>
      </c>
      <c r="O289" s="5" t="s">
        <v>2551</v>
      </c>
      <c r="P289" s="16" t="s">
        <v>3</v>
      </c>
    </row>
    <row r="290" spans="2:16" x14ac:dyDescent="0.25">
      <c r="B290" s="18" t="s">
        <v>1590</v>
      </c>
      <c r="C290" s="44" t="s">
        <v>1279</v>
      </c>
      <c r="D290" s="20" t="s">
        <v>1893</v>
      </c>
      <c r="E290" s="51" t="s">
        <v>3310</v>
      </c>
      <c r="F290" s="11">
        <v>43846</v>
      </c>
      <c r="G290" s="5" t="s">
        <v>1560</v>
      </c>
      <c r="H290" s="2"/>
      <c r="I290" s="4">
        <v>2999552</v>
      </c>
      <c r="J290" s="4">
        <v>3000000</v>
      </c>
      <c r="K290" s="4">
        <v>0</v>
      </c>
      <c r="L290" s="2"/>
      <c r="M290" s="5" t="s">
        <v>3</v>
      </c>
      <c r="N290" s="5" t="s">
        <v>3247</v>
      </c>
      <c r="O290" s="5" t="s">
        <v>928</v>
      </c>
      <c r="P290" s="16" t="s">
        <v>3</v>
      </c>
    </row>
    <row r="291" spans="2:16" x14ac:dyDescent="0.25">
      <c r="B291" s="18" t="s">
        <v>2674</v>
      </c>
      <c r="C291" s="44" t="s">
        <v>1243</v>
      </c>
      <c r="D291" s="20" t="s">
        <v>703</v>
      </c>
      <c r="E291" s="51" t="s">
        <v>3</v>
      </c>
      <c r="F291" s="11">
        <v>44091</v>
      </c>
      <c r="G291" s="5" t="s">
        <v>2994</v>
      </c>
      <c r="H291" s="2"/>
      <c r="I291" s="4">
        <v>1000000</v>
      </c>
      <c r="J291" s="4">
        <v>1000000</v>
      </c>
      <c r="K291" s="4">
        <v>0</v>
      </c>
      <c r="L291" s="2"/>
      <c r="M291" s="5" t="s">
        <v>1242</v>
      </c>
      <c r="N291" s="5" t="s">
        <v>1040</v>
      </c>
      <c r="O291" s="5" t="s">
        <v>389</v>
      </c>
      <c r="P291" s="16" t="s">
        <v>3</v>
      </c>
    </row>
    <row r="292" spans="2:16" x14ac:dyDescent="0.25">
      <c r="B292" s="18" t="s">
        <v>3789</v>
      </c>
      <c r="C292" s="44" t="s">
        <v>3248</v>
      </c>
      <c r="D292" s="20" t="s">
        <v>2361</v>
      </c>
      <c r="E292" s="51" t="s">
        <v>3310</v>
      </c>
      <c r="F292" s="11">
        <v>43843</v>
      </c>
      <c r="G292" s="5" t="s">
        <v>2994</v>
      </c>
      <c r="H292" s="2"/>
      <c r="I292" s="4">
        <v>4874000</v>
      </c>
      <c r="J292" s="4">
        <v>4874000</v>
      </c>
      <c r="K292" s="4">
        <v>0</v>
      </c>
      <c r="L292" s="2"/>
      <c r="M292" s="5" t="s">
        <v>3</v>
      </c>
      <c r="N292" s="5" t="s">
        <v>2980</v>
      </c>
      <c r="O292" s="5" t="s">
        <v>928</v>
      </c>
      <c r="P292" s="16" t="s">
        <v>3</v>
      </c>
    </row>
    <row r="293" spans="2:16" x14ac:dyDescent="0.25">
      <c r="B293" s="18" t="s">
        <v>513</v>
      </c>
      <c r="C293" s="44" t="s">
        <v>393</v>
      </c>
      <c r="D293" s="20" t="s">
        <v>3492</v>
      </c>
      <c r="E293" s="51" t="s">
        <v>3</v>
      </c>
      <c r="F293" s="11">
        <v>43910</v>
      </c>
      <c r="G293" s="5" t="s">
        <v>1293</v>
      </c>
      <c r="H293" s="2"/>
      <c r="I293" s="4">
        <v>5000000</v>
      </c>
      <c r="J293" s="4">
        <v>5000000</v>
      </c>
      <c r="K293" s="4">
        <v>0</v>
      </c>
      <c r="L293" s="2"/>
      <c r="M293" s="5" t="s">
        <v>3</v>
      </c>
      <c r="N293" s="5" t="s">
        <v>392</v>
      </c>
      <c r="O293" s="5" t="s">
        <v>3</v>
      </c>
      <c r="P293" s="16" t="s">
        <v>3</v>
      </c>
    </row>
    <row r="294" spans="2:16" x14ac:dyDescent="0.25">
      <c r="B294" s="18" t="s">
        <v>1591</v>
      </c>
      <c r="C294" s="44" t="s">
        <v>2314</v>
      </c>
      <c r="D294" s="20" t="s">
        <v>2109</v>
      </c>
      <c r="E294" s="51" t="s">
        <v>3</v>
      </c>
      <c r="F294" s="11">
        <v>43847</v>
      </c>
      <c r="G294" s="5" t="s">
        <v>3790</v>
      </c>
      <c r="H294" s="2"/>
      <c r="I294" s="4">
        <v>8000000</v>
      </c>
      <c r="J294" s="4">
        <v>8000000</v>
      </c>
      <c r="K294" s="4">
        <v>0</v>
      </c>
      <c r="L294" s="2"/>
      <c r="M294" s="5" t="s">
        <v>3</v>
      </c>
      <c r="N294" s="5" t="s">
        <v>2109</v>
      </c>
      <c r="O294" s="5" t="s">
        <v>3</v>
      </c>
      <c r="P294" s="16" t="s">
        <v>3</v>
      </c>
    </row>
    <row r="295" spans="2:16" x14ac:dyDescent="0.25">
      <c r="B295" s="18" t="s">
        <v>2675</v>
      </c>
      <c r="C295" s="44" t="s">
        <v>4329</v>
      </c>
      <c r="D295" s="20" t="s">
        <v>125</v>
      </c>
      <c r="E295" s="51" t="s">
        <v>2218</v>
      </c>
      <c r="F295" s="11">
        <v>43873</v>
      </c>
      <c r="G295" s="5" t="s">
        <v>2994</v>
      </c>
      <c r="H295" s="2"/>
      <c r="I295" s="4">
        <v>4172000</v>
      </c>
      <c r="J295" s="4">
        <v>4000000</v>
      </c>
      <c r="K295" s="4">
        <v>33250</v>
      </c>
      <c r="L295" s="2"/>
      <c r="M295" s="5" t="s">
        <v>3662</v>
      </c>
      <c r="N295" s="5" t="s">
        <v>707</v>
      </c>
      <c r="O295" s="5" t="s">
        <v>928</v>
      </c>
      <c r="P295" s="16" t="s">
        <v>3</v>
      </c>
    </row>
    <row r="296" spans="2:16" x14ac:dyDescent="0.25">
      <c r="B296" s="18" t="s">
        <v>3791</v>
      </c>
      <c r="C296" s="44" t="s">
        <v>4330</v>
      </c>
      <c r="D296" s="20" t="s">
        <v>125</v>
      </c>
      <c r="E296" s="51" t="s">
        <v>2218</v>
      </c>
      <c r="F296" s="11">
        <v>43838</v>
      </c>
      <c r="G296" s="5" t="s">
        <v>2994</v>
      </c>
      <c r="H296" s="2"/>
      <c r="I296" s="4">
        <v>4984800</v>
      </c>
      <c r="J296" s="4">
        <v>5000000</v>
      </c>
      <c r="K296" s="4">
        <v>0</v>
      </c>
      <c r="L296" s="2"/>
      <c r="M296" s="5" t="s">
        <v>3662</v>
      </c>
      <c r="N296" s="5" t="s">
        <v>707</v>
      </c>
      <c r="O296" s="5" t="s">
        <v>928</v>
      </c>
      <c r="P296" s="16" t="s">
        <v>3</v>
      </c>
    </row>
    <row r="297" spans="2:16" x14ac:dyDescent="0.25">
      <c r="B297" s="18" t="s">
        <v>514</v>
      </c>
      <c r="C297" s="44" t="s">
        <v>3413</v>
      </c>
      <c r="D297" s="20" t="s">
        <v>395</v>
      </c>
      <c r="E297" s="51" t="s">
        <v>1157</v>
      </c>
      <c r="F297" s="11">
        <v>44020</v>
      </c>
      <c r="G297" s="5" t="s">
        <v>2994</v>
      </c>
      <c r="H297" s="2"/>
      <c r="I297" s="4">
        <v>5000000</v>
      </c>
      <c r="J297" s="4">
        <v>5000000</v>
      </c>
      <c r="K297" s="4">
        <v>0</v>
      </c>
      <c r="L297" s="2"/>
      <c r="M297" s="5" t="s">
        <v>3414</v>
      </c>
      <c r="N297" s="5" t="s">
        <v>1816</v>
      </c>
      <c r="O297" s="5" t="s">
        <v>928</v>
      </c>
      <c r="P297" s="16" t="s">
        <v>3</v>
      </c>
    </row>
    <row r="298" spans="2:16" x14ac:dyDescent="0.25">
      <c r="B298" s="18" t="s">
        <v>1936</v>
      </c>
      <c r="C298" s="44" t="s">
        <v>128</v>
      </c>
      <c r="D298" s="20" t="s">
        <v>126</v>
      </c>
      <c r="E298" s="51" t="s">
        <v>1157</v>
      </c>
      <c r="F298" s="11">
        <v>43943</v>
      </c>
      <c r="G298" s="5" t="s">
        <v>191</v>
      </c>
      <c r="H298" s="2"/>
      <c r="I298" s="4">
        <v>2466275</v>
      </c>
      <c r="J298" s="4">
        <v>2500000</v>
      </c>
      <c r="K298" s="4">
        <v>11944</v>
      </c>
      <c r="L298" s="2"/>
      <c r="M298" s="5" t="s">
        <v>396</v>
      </c>
      <c r="N298" s="5" t="s">
        <v>3415</v>
      </c>
      <c r="O298" s="5" t="s">
        <v>928</v>
      </c>
      <c r="P298" s="16" t="s">
        <v>3</v>
      </c>
    </row>
    <row r="299" spans="2:16" x14ac:dyDescent="0.25">
      <c r="B299" s="18" t="s">
        <v>3019</v>
      </c>
      <c r="C299" s="44" t="s">
        <v>1087</v>
      </c>
      <c r="D299" s="20" t="s">
        <v>169</v>
      </c>
      <c r="E299" s="51" t="s">
        <v>1157</v>
      </c>
      <c r="F299" s="11">
        <v>43986</v>
      </c>
      <c r="G299" s="5" t="s">
        <v>1557</v>
      </c>
      <c r="H299" s="2"/>
      <c r="I299" s="4">
        <v>2000000</v>
      </c>
      <c r="J299" s="4">
        <v>2000000</v>
      </c>
      <c r="K299" s="4">
        <v>0</v>
      </c>
      <c r="L299" s="2"/>
      <c r="M299" s="5" t="s">
        <v>3</v>
      </c>
      <c r="N299" s="5" t="s">
        <v>169</v>
      </c>
      <c r="O299" s="5" t="s">
        <v>3</v>
      </c>
      <c r="P299" s="16" t="s">
        <v>3</v>
      </c>
    </row>
    <row r="300" spans="2:16" x14ac:dyDescent="0.25">
      <c r="B300" s="18" t="s">
        <v>515</v>
      </c>
      <c r="C300" s="44" t="s">
        <v>170</v>
      </c>
      <c r="D300" s="20" t="s">
        <v>1089</v>
      </c>
      <c r="E300" s="51" t="s">
        <v>1157</v>
      </c>
      <c r="F300" s="11">
        <v>44106</v>
      </c>
      <c r="G300" s="5" t="s">
        <v>3792</v>
      </c>
      <c r="H300" s="2"/>
      <c r="I300" s="4">
        <v>8500000</v>
      </c>
      <c r="J300" s="4">
        <v>8500000</v>
      </c>
      <c r="K300" s="4">
        <v>0</v>
      </c>
      <c r="L300" s="2"/>
      <c r="M300" s="5" t="s">
        <v>3</v>
      </c>
      <c r="N300" s="5" t="s">
        <v>3734</v>
      </c>
      <c r="O300" s="5" t="s">
        <v>928</v>
      </c>
      <c r="P300" s="16" t="s">
        <v>3</v>
      </c>
    </row>
    <row r="301" spans="2:16" x14ac:dyDescent="0.25">
      <c r="B301" s="18" t="s">
        <v>1592</v>
      </c>
      <c r="C301" s="44" t="s">
        <v>398</v>
      </c>
      <c r="D301" s="20" t="s">
        <v>3416</v>
      </c>
      <c r="E301" s="51" t="s">
        <v>2218</v>
      </c>
      <c r="F301" s="11">
        <v>43873</v>
      </c>
      <c r="G301" s="5" t="s">
        <v>1104</v>
      </c>
      <c r="H301" s="2"/>
      <c r="I301" s="4">
        <v>10521175</v>
      </c>
      <c r="J301" s="4">
        <v>10500000</v>
      </c>
      <c r="K301" s="4">
        <v>10743</v>
      </c>
      <c r="L301" s="2"/>
      <c r="M301" s="5" t="s">
        <v>2557</v>
      </c>
      <c r="N301" s="5" t="s">
        <v>3664</v>
      </c>
      <c r="O301" s="5" t="s">
        <v>928</v>
      </c>
      <c r="P301" s="16" t="s">
        <v>3</v>
      </c>
    </row>
    <row r="302" spans="2:16" x14ac:dyDescent="0.25">
      <c r="B302" s="18" t="s">
        <v>2676</v>
      </c>
      <c r="C302" s="44" t="s">
        <v>2899</v>
      </c>
      <c r="D302" s="20" t="s">
        <v>2391</v>
      </c>
      <c r="E302" s="51" t="s">
        <v>2218</v>
      </c>
      <c r="F302" s="11">
        <v>43836</v>
      </c>
      <c r="G302" s="5" t="s">
        <v>4397</v>
      </c>
      <c r="H302" s="2"/>
      <c r="I302" s="4">
        <v>4970100</v>
      </c>
      <c r="J302" s="4">
        <v>5000000</v>
      </c>
      <c r="K302" s="4">
        <v>0</v>
      </c>
      <c r="L302" s="2"/>
      <c r="M302" s="5" t="s">
        <v>3202</v>
      </c>
      <c r="N302" s="5" t="s">
        <v>4331</v>
      </c>
      <c r="O302" s="5" t="s">
        <v>928</v>
      </c>
      <c r="P302" s="16" t="s">
        <v>3</v>
      </c>
    </row>
    <row r="303" spans="2:16" x14ac:dyDescent="0.25">
      <c r="B303" s="18" t="s">
        <v>3793</v>
      </c>
      <c r="C303" s="44" t="s">
        <v>2559</v>
      </c>
      <c r="D303" s="20" t="s">
        <v>3493</v>
      </c>
      <c r="E303" s="51" t="s">
        <v>1157</v>
      </c>
      <c r="F303" s="11">
        <v>44175</v>
      </c>
      <c r="G303" s="5" t="s">
        <v>1104</v>
      </c>
      <c r="H303" s="2"/>
      <c r="I303" s="4">
        <v>25101550</v>
      </c>
      <c r="J303" s="4">
        <v>25000000</v>
      </c>
      <c r="K303" s="4">
        <v>15602</v>
      </c>
      <c r="L303" s="2"/>
      <c r="M303" s="5" t="s">
        <v>3202</v>
      </c>
      <c r="N303" s="5" t="s">
        <v>4331</v>
      </c>
      <c r="O303" s="5" t="s">
        <v>928</v>
      </c>
      <c r="P303" s="16" t="s">
        <v>3</v>
      </c>
    </row>
    <row r="304" spans="2:16" x14ac:dyDescent="0.25">
      <c r="B304" s="18" t="s">
        <v>516</v>
      </c>
      <c r="C304" s="44" t="s">
        <v>1894</v>
      </c>
      <c r="D304" s="20" t="s">
        <v>3249</v>
      </c>
      <c r="E304" s="51" t="s">
        <v>1157</v>
      </c>
      <c r="F304" s="11">
        <v>44166</v>
      </c>
      <c r="G304" s="5" t="s">
        <v>1557</v>
      </c>
      <c r="H304" s="2"/>
      <c r="I304" s="4">
        <v>1250000</v>
      </c>
      <c r="J304" s="4">
        <v>1250000</v>
      </c>
      <c r="K304" s="4">
        <v>2683</v>
      </c>
      <c r="L304" s="2"/>
      <c r="M304" s="5" t="s">
        <v>3</v>
      </c>
      <c r="N304" s="5" t="s">
        <v>3463</v>
      </c>
      <c r="O304" s="5" t="s">
        <v>928</v>
      </c>
      <c r="P304" s="16" t="s">
        <v>3</v>
      </c>
    </row>
    <row r="305" spans="2:16" x14ac:dyDescent="0.25">
      <c r="B305" s="18" t="s">
        <v>1593</v>
      </c>
      <c r="C305" s="44" t="s">
        <v>3736</v>
      </c>
      <c r="D305" s="20" t="s">
        <v>3249</v>
      </c>
      <c r="E305" s="51" t="s">
        <v>1157</v>
      </c>
      <c r="F305" s="11">
        <v>44169</v>
      </c>
      <c r="G305" s="5" t="s">
        <v>1293</v>
      </c>
      <c r="H305" s="2"/>
      <c r="I305" s="4">
        <v>3000000</v>
      </c>
      <c r="J305" s="4">
        <v>3000000</v>
      </c>
      <c r="K305" s="4">
        <v>0</v>
      </c>
      <c r="L305" s="2"/>
      <c r="M305" s="5" t="s">
        <v>3</v>
      </c>
      <c r="N305" s="5" t="s">
        <v>3463</v>
      </c>
      <c r="O305" s="5" t="s">
        <v>928</v>
      </c>
      <c r="P305" s="16" t="s">
        <v>3</v>
      </c>
    </row>
    <row r="306" spans="2:16" x14ac:dyDescent="0.25">
      <c r="B306" s="18" t="s">
        <v>3020</v>
      </c>
      <c r="C306" s="44" t="s">
        <v>2903</v>
      </c>
      <c r="D306" s="20" t="s">
        <v>400</v>
      </c>
      <c r="E306" s="51" t="s">
        <v>1157</v>
      </c>
      <c r="F306" s="11">
        <v>43873</v>
      </c>
      <c r="G306" s="5" t="s">
        <v>2994</v>
      </c>
      <c r="H306" s="2"/>
      <c r="I306" s="4">
        <v>5127750</v>
      </c>
      <c r="J306" s="4">
        <v>5000000</v>
      </c>
      <c r="K306" s="4">
        <v>34846</v>
      </c>
      <c r="L306" s="2"/>
      <c r="M306" s="5" t="s">
        <v>4017</v>
      </c>
      <c r="N306" s="5" t="s">
        <v>1044</v>
      </c>
      <c r="O306" s="5" t="s">
        <v>928</v>
      </c>
      <c r="P306" s="16" t="s">
        <v>3</v>
      </c>
    </row>
    <row r="307" spans="2:16" x14ac:dyDescent="0.25">
      <c r="B307" s="18" t="s">
        <v>4147</v>
      </c>
      <c r="C307" s="44" t="s">
        <v>4332</v>
      </c>
      <c r="D307" s="20" t="s">
        <v>400</v>
      </c>
      <c r="E307" s="51" t="s">
        <v>1157</v>
      </c>
      <c r="F307" s="11">
        <v>44047</v>
      </c>
      <c r="G307" s="5" t="s">
        <v>1104</v>
      </c>
      <c r="H307" s="2"/>
      <c r="I307" s="4">
        <v>14449800</v>
      </c>
      <c r="J307" s="4">
        <v>14000000</v>
      </c>
      <c r="K307" s="4">
        <v>35134</v>
      </c>
      <c r="L307" s="2"/>
      <c r="M307" s="5" t="s">
        <v>4017</v>
      </c>
      <c r="N307" s="5" t="s">
        <v>1044</v>
      </c>
      <c r="O307" s="5" t="s">
        <v>928</v>
      </c>
      <c r="P307" s="16" t="s">
        <v>3</v>
      </c>
    </row>
    <row r="308" spans="2:16" x14ac:dyDescent="0.25">
      <c r="B308" s="18" t="s">
        <v>835</v>
      </c>
      <c r="C308" s="44" t="s">
        <v>1090</v>
      </c>
      <c r="D308" s="20" t="s">
        <v>3738</v>
      </c>
      <c r="E308" s="51" t="s">
        <v>1157</v>
      </c>
      <c r="F308" s="11">
        <v>43980</v>
      </c>
      <c r="G308" s="5" t="s">
        <v>1293</v>
      </c>
      <c r="H308" s="2"/>
      <c r="I308" s="4">
        <v>3900000</v>
      </c>
      <c r="J308" s="4">
        <v>4000000</v>
      </c>
      <c r="K308" s="4">
        <v>11014</v>
      </c>
      <c r="L308" s="2"/>
      <c r="M308" s="5" t="s">
        <v>3</v>
      </c>
      <c r="N308" s="5" t="s">
        <v>3250</v>
      </c>
      <c r="O308" s="5" t="s">
        <v>928</v>
      </c>
      <c r="P308" s="16" t="s">
        <v>3</v>
      </c>
    </row>
    <row r="309" spans="2:16" x14ac:dyDescent="0.25">
      <c r="B309" s="18" t="s">
        <v>1937</v>
      </c>
      <c r="C309" s="44" t="s">
        <v>4382</v>
      </c>
      <c r="D309" s="20" t="s">
        <v>1280</v>
      </c>
      <c r="E309" s="51" t="s">
        <v>1157</v>
      </c>
      <c r="F309" s="11">
        <v>44075</v>
      </c>
      <c r="G309" s="5" t="s">
        <v>4394</v>
      </c>
      <c r="H309" s="2"/>
      <c r="I309" s="4">
        <v>14677934</v>
      </c>
      <c r="J309" s="4">
        <v>14681250</v>
      </c>
      <c r="K309" s="4">
        <v>0</v>
      </c>
      <c r="L309" s="2"/>
      <c r="M309" s="5" t="s">
        <v>3</v>
      </c>
      <c r="N309" s="5" t="s">
        <v>801</v>
      </c>
      <c r="O309" s="5" t="s">
        <v>928</v>
      </c>
      <c r="P309" s="16" t="s">
        <v>3</v>
      </c>
    </row>
    <row r="310" spans="2:16" x14ac:dyDescent="0.25">
      <c r="B310" s="18" t="s">
        <v>3794</v>
      </c>
      <c r="C310" s="44" t="s">
        <v>2629</v>
      </c>
      <c r="D310" s="20" t="s">
        <v>465</v>
      </c>
      <c r="E310" s="51" t="s">
        <v>1157</v>
      </c>
      <c r="F310" s="11">
        <v>44166</v>
      </c>
      <c r="G310" s="5" t="s">
        <v>191</v>
      </c>
      <c r="H310" s="2"/>
      <c r="I310" s="4">
        <v>2500000</v>
      </c>
      <c r="J310" s="4">
        <v>2500000</v>
      </c>
      <c r="K310" s="4">
        <v>7046</v>
      </c>
      <c r="L310" s="2"/>
      <c r="M310" s="5" t="s">
        <v>3</v>
      </c>
      <c r="N310" s="5" t="s">
        <v>1896</v>
      </c>
      <c r="O310" s="5" t="s">
        <v>928</v>
      </c>
      <c r="P310" s="16" t="s">
        <v>3</v>
      </c>
    </row>
    <row r="311" spans="2:16" x14ac:dyDescent="0.25">
      <c r="B311" s="18" t="s">
        <v>517</v>
      </c>
      <c r="C311" s="44" t="s">
        <v>1471</v>
      </c>
      <c r="D311" s="20" t="s">
        <v>2905</v>
      </c>
      <c r="E311" s="51" t="s">
        <v>1157</v>
      </c>
      <c r="F311" s="11">
        <v>43872</v>
      </c>
      <c r="G311" s="5" t="s">
        <v>4405</v>
      </c>
      <c r="H311" s="2"/>
      <c r="I311" s="4">
        <v>4000000</v>
      </c>
      <c r="J311" s="4">
        <v>4000000</v>
      </c>
      <c r="K311" s="4">
        <v>0</v>
      </c>
      <c r="L311" s="2"/>
      <c r="M311" s="5" t="s">
        <v>3</v>
      </c>
      <c r="N311" s="5" t="s">
        <v>2905</v>
      </c>
      <c r="O311" s="5" t="s">
        <v>3</v>
      </c>
      <c r="P311" s="16" t="s">
        <v>3</v>
      </c>
    </row>
    <row r="312" spans="2:16" x14ac:dyDescent="0.25">
      <c r="B312" s="18" t="s">
        <v>1594</v>
      </c>
      <c r="C312" s="44" t="s">
        <v>713</v>
      </c>
      <c r="D312" s="20" t="s">
        <v>4019</v>
      </c>
      <c r="E312" s="51" t="s">
        <v>1157</v>
      </c>
      <c r="F312" s="11">
        <v>43991</v>
      </c>
      <c r="G312" s="5" t="s">
        <v>4397</v>
      </c>
      <c r="H312" s="2"/>
      <c r="I312" s="4">
        <v>5013050</v>
      </c>
      <c r="J312" s="4">
        <v>5000000</v>
      </c>
      <c r="K312" s="4">
        <v>0</v>
      </c>
      <c r="L312" s="2"/>
      <c r="M312" s="5" t="s">
        <v>3</v>
      </c>
      <c r="N312" s="5" t="s">
        <v>4334</v>
      </c>
      <c r="O312" s="5" t="s">
        <v>928</v>
      </c>
      <c r="P312" s="16" t="s">
        <v>3</v>
      </c>
    </row>
    <row r="313" spans="2:16" x14ac:dyDescent="0.25">
      <c r="B313" s="18" t="s">
        <v>2677</v>
      </c>
      <c r="C313" s="44" t="s">
        <v>3418</v>
      </c>
      <c r="D313" s="20" t="s">
        <v>2181</v>
      </c>
      <c r="E313" s="51" t="s">
        <v>1157</v>
      </c>
      <c r="F313" s="11">
        <v>43958</v>
      </c>
      <c r="G313" s="5" t="s">
        <v>1310</v>
      </c>
      <c r="H313" s="2"/>
      <c r="I313" s="4">
        <v>4000000</v>
      </c>
      <c r="J313" s="4">
        <v>4000000</v>
      </c>
      <c r="K313" s="4">
        <v>0</v>
      </c>
      <c r="L313" s="2"/>
      <c r="M313" s="5" t="s">
        <v>3</v>
      </c>
      <c r="N313" s="5" t="s">
        <v>403</v>
      </c>
      <c r="O313" s="5" t="s">
        <v>3</v>
      </c>
      <c r="P313" s="16" t="s">
        <v>3</v>
      </c>
    </row>
    <row r="314" spans="2:16" x14ac:dyDescent="0.25">
      <c r="B314" s="18" t="s">
        <v>3795</v>
      </c>
      <c r="C314" s="44" t="s">
        <v>3419</v>
      </c>
      <c r="D314" s="20" t="s">
        <v>3021</v>
      </c>
      <c r="E314" s="51" t="s">
        <v>1157</v>
      </c>
      <c r="F314" s="11">
        <v>43958</v>
      </c>
      <c r="G314" s="5" t="s">
        <v>1310</v>
      </c>
      <c r="H314" s="2"/>
      <c r="I314" s="4">
        <v>2000000</v>
      </c>
      <c r="J314" s="4">
        <v>2000000</v>
      </c>
      <c r="K314" s="4">
        <v>0</v>
      </c>
      <c r="L314" s="2"/>
      <c r="M314" s="5" t="s">
        <v>3</v>
      </c>
      <c r="N314" s="5" t="s">
        <v>403</v>
      </c>
      <c r="O314" s="5" t="s">
        <v>3</v>
      </c>
      <c r="P314" s="16" t="s">
        <v>3</v>
      </c>
    </row>
    <row r="315" spans="2:16" x14ac:dyDescent="0.25">
      <c r="B315" s="18" t="s">
        <v>836</v>
      </c>
      <c r="C315" s="44" t="s">
        <v>3252</v>
      </c>
      <c r="D315" s="20" t="s">
        <v>1532</v>
      </c>
      <c r="E315" s="51" t="s">
        <v>1157</v>
      </c>
      <c r="F315" s="11">
        <v>43945</v>
      </c>
      <c r="G315" s="5" t="s">
        <v>2182</v>
      </c>
      <c r="H315" s="2"/>
      <c r="I315" s="4">
        <v>3000000</v>
      </c>
      <c r="J315" s="4">
        <v>3000000</v>
      </c>
      <c r="K315" s="4">
        <v>0</v>
      </c>
      <c r="L315" s="2"/>
      <c r="M315" s="5" t="s">
        <v>3</v>
      </c>
      <c r="N315" s="5" t="s">
        <v>2983</v>
      </c>
      <c r="O315" s="5" t="s">
        <v>2983</v>
      </c>
      <c r="P315" s="16" t="s">
        <v>3</v>
      </c>
    </row>
    <row r="316" spans="2:16" x14ac:dyDescent="0.25">
      <c r="B316" s="18" t="s">
        <v>1938</v>
      </c>
      <c r="C316" s="44" t="s">
        <v>3422</v>
      </c>
      <c r="D316" s="20" t="s">
        <v>3796</v>
      </c>
      <c r="E316" s="51" t="s">
        <v>1157</v>
      </c>
      <c r="F316" s="11">
        <v>43985</v>
      </c>
      <c r="G316" s="5" t="s">
        <v>1557</v>
      </c>
      <c r="H316" s="2"/>
      <c r="I316" s="4">
        <v>10970600</v>
      </c>
      <c r="J316" s="4">
        <v>10000000</v>
      </c>
      <c r="K316" s="4">
        <v>49167</v>
      </c>
      <c r="L316" s="2"/>
      <c r="M316" s="5" t="s">
        <v>2113</v>
      </c>
      <c r="N316" s="5" t="s">
        <v>4021</v>
      </c>
      <c r="O316" s="5" t="s">
        <v>3</v>
      </c>
      <c r="P316" s="16" t="s">
        <v>3</v>
      </c>
    </row>
    <row r="317" spans="2:16" x14ac:dyDescent="0.25">
      <c r="B317" s="18" t="s">
        <v>3022</v>
      </c>
      <c r="C317" s="44" t="s">
        <v>716</v>
      </c>
      <c r="D317" s="20" t="s">
        <v>4148</v>
      </c>
      <c r="E317" s="51" t="s">
        <v>1157</v>
      </c>
      <c r="F317" s="11">
        <v>44047</v>
      </c>
      <c r="G317" s="5" t="s">
        <v>1293</v>
      </c>
      <c r="H317" s="2"/>
      <c r="I317" s="4">
        <v>5503000</v>
      </c>
      <c r="J317" s="4">
        <v>5000000</v>
      </c>
      <c r="K317" s="4">
        <v>2604</v>
      </c>
      <c r="L317" s="2"/>
      <c r="M317" s="5" t="s">
        <v>3</v>
      </c>
      <c r="N317" s="5" t="s">
        <v>1824</v>
      </c>
      <c r="O317" s="5" t="s">
        <v>3</v>
      </c>
      <c r="P317" s="16" t="s">
        <v>3</v>
      </c>
    </row>
    <row r="318" spans="2:16" x14ac:dyDescent="0.25">
      <c r="B318" s="18" t="s">
        <v>4149</v>
      </c>
      <c r="C318" s="44" t="s">
        <v>2165</v>
      </c>
      <c r="D318" s="20" t="s">
        <v>4107</v>
      </c>
      <c r="E318" s="51" t="s">
        <v>1157</v>
      </c>
      <c r="F318" s="11">
        <v>44076</v>
      </c>
      <c r="G318" s="5" t="s">
        <v>4395</v>
      </c>
      <c r="H318" s="2"/>
      <c r="I318" s="4">
        <v>4869240</v>
      </c>
      <c r="J318" s="4">
        <v>4869470</v>
      </c>
      <c r="K318" s="4">
        <v>0</v>
      </c>
      <c r="L318" s="2"/>
      <c r="M318" s="5" t="s">
        <v>3</v>
      </c>
      <c r="N318" s="5" t="s">
        <v>4384</v>
      </c>
      <c r="O318" s="5" t="s">
        <v>928</v>
      </c>
      <c r="P318" s="16" t="s">
        <v>3</v>
      </c>
    </row>
    <row r="319" spans="2:16" x14ac:dyDescent="0.25">
      <c r="B319" s="18" t="s">
        <v>837</v>
      </c>
      <c r="C319" s="44" t="s">
        <v>4336</v>
      </c>
      <c r="D319" s="20" t="s">
        <v>838</v>
      </c>
      <c r="E319" s="51" t="s">
        <v>1157</v>
      </c>
      <c r="F319" s="11">
        <v>44063</v>
      </c>
      <c r="G319" s="5" t="s">
        <v>3023</v>
      </c>
      <c r="H319" s="2"/>
      <c r="I319" s="4">
        <v>3000000</v>
      </c>
      <c r="J319" s="4">
        <v>3000000</v>
      </c>
      <c r="K319" s="4">
        <v>0</v>
      </c>
      <c r="L319" s="2"/>
      <c r="M319" s="5" t="s">
        <v>1047</v>
      </c>
      <c r="N319" s="5" t="s">
        <v>718</v>
      </c>
      <c r="O319" s="5" t="s">
        <v>3</v>
      </c>
      <c r="P319" s="16" t="s">
        <v>3</v>
      </c>
    </row>
    <row r="320" spans="2:16" x14ac:dyDescent="0.25">
      <c r="B320" s="18" t="s">
        <v>2678</v>
      </c>
      <c r="C320" s="44" t="s">
        <v>1827</v>
      </c>
      <c r="D320" s="20" t="s">
        <v>1246</v>
      </c>
      <c r="E320" s="51" t="s">
        <v>1157</v>
      </c>
      <c r="F320" s="11">
        <v>44006</v>
      </c>
      <c r="G320" s="5" t="s">
        <v>2994</v>
      </c>
      <c r="H320" s="2"/>
      <c r="I320" s="4">
        <v>6995310</v>
      </c>
      <c r="J320" s="4">
        <v>7000000</v>
      </c>
      <c r="K320" s="4">
        <v>0</v>
      </c>
      <c r="L320" s="2"/>
      <c r="M320" s="5" t="s">
        <v>3</v>
      </c>
      <c r="N320" s="5" t="s">
        <v>721</v>
      </c>
      <c r="O320" s="5" t="s">
        <v>928</v>
      </c>
      <c r="P320" s="16" t="s">
        <v>3</v>
      </c>
    </row>
    <row r="321" spans="2:16" x14ac:dyDescent="0.25">
      <c r="B321" s="18" t="s">
        <v>3797</v>
      </c>
      <c r="C321" s="44" t="s">
        <v>2115</v>
      </c>
      <c r="D321" s="20" t="s">
        <v>724</v>
      </c>
      <c r="E321" s="51" t="s">
        <v>2218</v>
      </c>
      <c r="F321" s="11">
        <v>43873</v>
      </c>
      <c r="G321" s="5" t="s">
        <v>1104</v>
      </c>
      <c r="H321" s="2"/>
      <c r="I321" s="4">
        <v>16757967</v>
      </c>
      <c r="J321" s="4">
        <v>16700000</v>
      </c>
      <c r="K321" s="4">
        <v>5899</v>
      </c>
      <c r="L321" s="2"/>
      <c r="M321" s="5" t="s">
        <v>2116</v>
      </c>
      <c r="N321" s="5" t="s">
        <v>724</v>
      </c>
      <c r="O321" s="5" t="s">
        <v>3</v>
      </c>
      <c r="P321" s="16" t="s">
        <v>3</v>
      </c>
    </row>
    <row r="322" spans="2:16" x14ac:dyDescent="0.25">
      <c r="B322" s="18" t="s">
        <v>518</v>
      </c>
      <c r="C322" s="44" t="s">
        <v>3465</v>
      </c>
      <c r="D322" s="20" t="s">
        <v>2985</v>
      </c>
      <c r="E322" s="51" t="s">
        <v>1157</v>
      </c>
      <c r="F322" s="11">
        <v>44183</v>
      </c>
      <c r="G322" s="5" t="s">
        <v>4395</v>
      </c>
      <c r="H322" s="2"/>
      <c r="I322" s="4">
        <v>7122863</v>
      </c>
      <c r="J322" s="4">
        <v>7125000</v>
      </c>
      <c r="K322" s="4">
        <v>14945</v>
      </c>
      <c r="L322" s="2"/>
      <c r="M322" s="5" t="s">
        <v>3</v>
      </c>
      <c r="N322" s="5" t="s">
        <v>1898</v>
      </c>
      <c r="O322" s="5" t="s">
        <v>928</v>
      </c>
      <c r="P322" s="16" t="s">
        <v>3</v>
      </c>
    </row>
    <row r="323" spans="2:16" x14ac:dyDescent="0.25">
      <c r="B323" s="18" t="s">
        <v>1939</v>
      </c>
      <c r="C323" s="44" t="s">
        <v>1475</v>
      </c>
      <c r="D323" s="20" t="s">
        <v>4027</v>
      </c>
      <c r="E323" s="51" t="s">
        <v>1157</v>
      </c>
      <c r="F323" s="11">
        <v>44025</v>
      </c>
      <c r="G323" s="5" t="s">
        <v>999</v>
      </c>
      <c r="H323" s="2"/>
      <c r="I323" s="4">
        <v>3000000</v>
      </c>
      <c r="J323" s="4">
        <v>3000000</v>
      </c>
      <c r="K323" s="4">
        <v>0</v>
      </c>
      <c r="L323" s="2"/>
      <c r="M323" s="5" t="s">
        <v>3</v>
      </c>
      <c r="N323" s="5" t="s">
        <v>2118</v>
      </c>
      <c r="O323" s="5" t="s">
        <v>2118</v>
      </c>
      <c r="P323" s="16" t="s">
        <v>3</v>
      </c>
    </row>
    <row r="324" spans="2:16" x14ac:dyDescent="0.25">
      <c r="B324" s="18" t="s">
        <v>3024</v>
      </c>
      <c r="C324" s="44" t="s">
        <v>4029</v>
      </c>
      <c r="D324" s="20" t="s">
        <v>2566</v>
      </c>
      <c r="E324" s="51" t="s">
        <v>1157</v>
      </c>
      <c r="F324" s="11">
        <v>44018</v>
      </c>
      <c r="G324" s="5" t="s">
        <v>3268</v>
      </c>
      <c r="H324" s="2"/>
      <c r="I324" s="4">
        <v>2500000</v>
      </c>
      <c r="J324" s="4">
        <v>2500000</v>
      </c>
      <c r="K324" s="4">
        <v>0</v>
      </c>
      <c r="L324" s="2"/>
      <c r="M324" s="5" t="s">
        <v>3</v>
      </c>
      <c r="N324" s="5" t="s">
        <v>2566</v>
      </c>
      <c r="O324" s="5" t="s">
        <v>3</v>
      </c>
      <c r="P324" s="16" t="s">
        <v>3</v>
      </c>
    </row>
    <row r="325" spans="2:16" x14ac:dyDescent="0.25">
      <c r="B325" s="18" t="s">
        <v>4150</v>
      </c>
      <c r="C325" s="44" t="s">
        <v>1836</v>
      </c>
      <c r="D325" s="20" t="s">
        <v>2121</v>
      </c>
      <c r="E325" s="51" t="s">
        <v>1157</v>
      </c>
      <c r="F325" s="11">
        <v>43985</v>
      </c>
      <c r="G325" s="5" t="s">
        <v>1557</v>
      </c>
      <c r="H325" s="2"/>
      <c r="I325" s="4">
        <v>3120810</v>
      </c>
      <c r="J325" s="4">
        <v>3000000</v>
      </c>
      <c r="K325" s="4">
        <v>8925</v>
      </c>
      <c r="L325" s="2"/>
      <c r="M325" s="5" t="s">
        <v>3</v>
      </c>
      <c r="N325" s="5" t="s">
        <v>2916</v>
      </c>
      <c r="O325" s="5" t="s">
        <v>928</v>
      </c>
      <c r="P325" s="16" t="s">
        <v>3</v>
      </c>
    </row>
    <row r="326" spans="2:16" x14ac:dyDescent="0.25">
      <c r="B326" s="18" t="s">
        <v>839</v>
      </c>
      <c r="C326" s="44" t="s">
        <v>1899</v>
      </c>
      <c r="D326" s="20" t="s">
        <v>3466</v>
      </c>
      <c r="E326" s="51" t="s">
        <v>1157</v>
      </c>
      <c r="F326" s="11">
        <v>44098</v>
      </c>
      <c r="G326" s="5" t="s">
        <v>2994</v>
      </c>
      <c r="H326" s="2"/>
      <c r="I326" s="4">
        <v>10000000</v>
      </c>
      <c r="J326" s="4">
        <v>10000000</v>
      </c>
      <c r="K326" s="4">
        <v>0</v>
      </c>
      <c r="L326" s="2"/>
      <c r="M326" s="5" t="s">
        <v>3</v>
      </c>
      <c r="N326" s="5" t="s">
        <v>1094</v>
      </c>
      <c r="O326" s="5" t="s">
        <v>928</v>
      </c>
      <c r="P326" s="16" t="s">
        <v>3</v>
      </c>
    </row>
    <row r="327" spans="2:16" x14ac:dyDescent="0.25">
      <c r="B327" s="18" t="s">
        <v>1940</v>
      </c>
      <c r="C327" s="44" t="s">
        <v>729</v>
      </c>
      <c r="D327" s="20" t="s">
        <v>4341</v>
      </c>
      <c r="E327" s="51" t="s">
        <v>1157</v>
      </c>
      <c r="F327" s="11">
        <v>43999</v>
      </c>
      <c r="G327" s="5" t="s">
        <v>191</v>
      </c>
      <c r="H327" s="2"/>
      <c r="I327" s="4">
        <v>5000000</v>
      </c>
      <c r="J327" s="4">
        <v>5000000</v>
      </c>
      <c r="K327" s="4">
        <v>0</v>
      </c>
      <c r="L327" s="2"/>
      <c r="M327" s="5" t="s">
        <v>4033</v>
      </c>
      <c r="N327" s="5" t="s">
        <v>3675</v>
      </c>
      <c r="O327" s="5" t="s">
        <v>928</v>
      </c>
      <c r="P327" s="16" t="s">
        <v>3</v>
      </c>
    </row>
    <row r="328" spans="2:16" x14ac:dyDescent="0.25">
      <c r="B328" s="18" t="s">
        <v>3025</v>
      </c>
      <c r="C328" s="44" t="s">
        <v>3426</v>
      </c>
      <c r="D328" s="20" t="s">
        <v>1837</v>
      </c>
      <c r="E328" s="51" t="s">
        <v>1157</v>
      </c>
      <c r="F328" s="10">
        <v>44067</v>
      </c>
      <c r="G328" s="5" t="s">
        <v>191</v>
      </c>
      <c r="H328" s="2"/>
      <c r="I328" s="4">
        <v>4914200</v>
      </c>
      <c r="J328" s="4">
        <v>5000000</v>
      </c>
      <c r="K328" s="4">
        <v>0</v>
      </c>
      <c r="L328" s="2"/>
      <c r="M328" s="5" t="s">
        <v>2124</v>
      </c>
      <c r="N328" s="5" t="s">
        <v>731</v>
      </c>
      <c r="O328" s="5" t="s">
        <v>928</v>
      </c>
      <c r="P328" s="16" t="s">
        <v>3</v>
      </c>
    </row>
    <row r="329" spans="2:16" x14ac:dyDescent="0.25">
      <c r="B329" s="18" t="s">
        <v>4151</v>
      </c>
      <c r="C329" s="44" t="s">
        <v>2567</v>
      </c>
      <c r="D329" s="20" t="s">
        <v>2319</v>
      </c>
      <c r="E329" s="51" t="s">
        <v>1157</v>
      </c>
      <c r="F329" s="10">
        <v>44172</v>
      </c>
      <c r="G329" s="5" t="s">
        <v>1104</v>
      </c>
      <c r="H329" s="2"/>
      <c r="I329" s="4">
        <v>4900000</v>
      </c>
      <c r="J329" s="4">
        <v>4900000</v>
      </c>
      <c r="K329" s="4">
        <v>165</v>
      </c>
      <c r="L329" s="2"/>
      <c r="M329" s="5" t="s">
        <v>1248</v>
      </c>
      <c r="N329" s="5" t="s">
        <v>3676</v>
      </c>
      <c r="O329" s="5" t="s">
        <v>928</v>
      </c>
      <c r="P329" s="16" t="s">
        <v>3</v>
      </c>
    </row>
    <row r="330" spans="2:16" x14ac:dyDescent="0.25">
      <c r="B330" s="18" t="s">
        <v>1595</v>
      </c>
      <c r="C330" s="44" t="s">
        <v>1250</v>
      </c>
      <c r="D330" s="20" t="s">
        <v>734</v>
      </c>
      <c r="E330" s="51" t="s">
        <v>2218</v>
      </c>
      <c r="F330" s="10">
        <v>43846</v>
      </c>
      <c r="G330" s="5" t="s">
        <v>3494</v>
      </c>
      <c r="H330" s="2"/>
      <c r="I330" s="4">
        <v>4990000</v>
      </c>
      <c r="J330" s="4">
        <v>5000000</v>
      </c>
      <c r="K330" s="4">
        <v>0</v>
      </c>
      <c r="L330" s="2"/>
      <c r="M330" s="5" t="s">
        <v>1839</v>
      </c>
      <c r="N330" s="5" t="s">
        <v>735</v>
      </c>
      <c r="O330" s="5" t="s">
        <v>928</v>
      </c>
      <c r="P330" s="16" t="s">
        <v>3</v>
      </c>
    </row>
    <row r="331" spans="2:16" x14ac:dyDescent="0.25">
      <c r="B331" s="18" t="s">
        <v>2679</v>
      </c>
      <c r="C331" s="44" t="s">
        <v>1051</v>
      </c>
      <c r="D331" s="20" t="s">
        <v>2183</v>
      </c>
      <c r="E331" s="51" t="s">
        <v>1157</v>
      </c>
      <c r="F331" s="10">
        <v>44012</v>
      </c>
      <c r="G331" s="5" t="s">
        <v>3494</v>
      </c>
      <c r="H331" s="2"/>
      <c r="I331" s="4">
        <v>9972100</v>
      </c>
      <c r="J331" s="4">
        <v>10000000</v>
      </c>
      <c r="K331" s="4">
        <v>0</v>
      </c>
      <c r="L331" s="2"/>
      <c r="M331" s="5" t="s">
        <v>1839</v>
      </c>
      <c r="N331" s="5" t="s">
        <v>735</v>
      </c>
      <c r="O331" s="5" t="s">
        <v>3</v>
      </c>
      <c r="P331" s="16" t="s">
        <v>3</v>
      </c>
    </row>
    <row r="332" spans="2:16" x14ac:dyDescent="0.25">
      <c r="B332" s="18" t="s">
        <v>4152</v>
      </c>
      <c r="C332" s="44" t="s">
        <v>2320</v>
      </c>
      <c r="D332" s="20" t="s">
        <v>734</v>
      </c>
      <c r="E332" s="51" t="s">
        <v>1157</v>
      </c>
      <c r="F332" s="10">
        <v>44174</v>
      </c>
      <c r="G332" s="5" t="s">
        <v>3494</v>
      </c>
      <c r="H332" s="2"/>
      <c r="I332" s="4">
        <v>10010350</v>
      </c>
      <c r="J332" s="4">
        <v>10000000</v>
      </c>
      <c r="K332" s="4">
        <v>0</v>
      </c>
      <c r="L332" s="2"/>
      <c r="M332" s="5" t="s">
        <v>1839</v>
      </c>
      <c r="N332" s="5" t="s">
        <v>735</v>
      </c>
      <c r="O332" s="5" t="s">
        <v>928</v>
      </c>
      <c r="P332" s="16" t="s">
        <v>3</v>
      </c>
    </row>
    <row r="333" spans="2:16" x14ac:dyDescent="0.25">
      <c r="B333" s="18" t="s">
        <v>840</v>
      </c>
      <c r="C333" s="44" t="s">
        <v>736</v>
      </c>
      <c r="D333" s="20" t="s">
        <v>1251</v>
      </c>
      <c r="E333" s="51" t="s">
        <v>2218</v>
      </c>
      <c r="F333" s="10">
        <v>43873</v>
      </c>
      <c r="G333" s="5" t="s">
        <v>2994</v>
      </c>
      <c r="H333" s="2"/>
      <c r="I333" s="4">
        <v>8410971</v>
      </c>
      <c r="J333" s="4">
        <v>8300000</v>
      </c>
      <c r="K333" s="4">
        <v>22098</v>
      </c>
      <c r="L333" s="2"/>
      <c r="M333" s="5" t="s">
        <v>1052</v>
      </c>
      <c r="N333" s="5" t="s">
        <v>2125</v>
      </c>
      <c r="O333" s="5" t="s">
        <v>928</v>
      </c>
      <c r="P333" s="16" t="s">
        <v>3</v>
      </c>
    </row>
    <row r="334" spans="2:16" x14ac:dyDescent="0.25">
      <c r="B334" s="18" t="s">
        <v>1941</v>
      </c>
      <c r="C334" s="44" t="s">
        <v>175</v>
      </c>
      <c r="D334" s="20" t="s">
        <v>1540</v>
      </c>
      <c r="E334" s="51" t="s">
        <v>1157</v>
      </c>
      <c r="F334" s="10">
        <v>43990</v>
      </c>
      <c r="G334" s="5" t="s">
        <v>4394</v>
      </c>
      <c r="H334" s="2"/>
      <c r="I334" s="4">
        <v>1944000</v>
      </c>
      <c r="J334" s="4">
        <v>2000000</v>
      </c>
      <c r="K334" s="4">
        <v>7681</v>
      </c>
      <c r="L334" s="2"/>
      <c r="M334" s="5" t="s">
        <v>3</v>
      </c>
      <c r="N334" s="5" t="s">
        <v>176</v>
      </c>
      <c r="O334" s="5" t="s">
        <v>928</v>
      </c>
      <c r="P334" s="16" t="s">
        <v>3</v>
      </c>
    </row>
    <row r="335" spans="2:16" x14ac:dyDescent="0.25">
      <c r="B335" s="18" t="s">
        <v>3026</v>
      </c>
      <c r="C335" s="44" t="s">
        <v>2569</v>
      </c>
      <c r="D335" s="20" t="s">
        <v>1476</v>
      </c>
      <c r="E335" s="51" t="s">
        <v>2218</v>
      </c>
      <c r="F335" s="10">
        <v>43836</v>
      </c>
      <c r="G335" s="5" t="s">
        <v>3266</v>
      </c>
      <c r="H335" s="2"/>
      <c r="I335" s="4">
        <v>5000000</v>
      </c>
      <c r="J335" s="4">
        <v>5000000</v>
      </c>
      <c r="K335" s="4">
        <v>0</v>
      </c>
      <c r="L335" s="2"/>
      <c r="M335" s="5" t="s">
        <v>3</v>
      </c>
      <c r="N335" s="5" t="s">
        <v>3427</v>
      </c>
      <c r="O335" s="5" t="s">
        <v>3677</v>
      </c>
      <c r="P335" s="16" t="s">
        <v>3</v>
      </c>
    </row>
    <row r="336" spans="2:16" x14ac:dyDescent="0.25">
      <c r="B336" s="18" t="s">
        <v>4153</v>
      </c>
      <c r="C336" s="44" t="s">
        <v>1054</v>
      </c>
      <c r="D336" s="20" t="s">
        <v>1476</v>
      </c>
      <c r="E336" s="51" t="s">
        <v>1157</v>
      </c>
      <c r="F336" s="10">
        <v>44011</v>
      </c>
      <c r="G336" s="5" t="s">
        <v>3266</v>
      </c>
      <c r="H336" s="2"/>
      <c r="I336" s="4">
        <v>5000000</v>
      </c>
      <c r="J336" s="4">
        <v>5000000</v>
      </c>
      <c r="K336" s="4">
        <v>0</v>
      </c>
      <c r="L336" s="2"/>
      <c r="M336" s="5" t="s">
        <v>3</v>
      </c>
      <c r="N336" s="5" t="s">
        <v>3427</v>
      </c>
      <c r="O336" s="5" t="s">
        <v>3677</v>
      </c>
      <c r="P336" s="16" t="s">
        <v>3</v>
      </c>
    </row>
    <row r="337" spans="2:16" x14ac:dyDescent="0.25">
      <c r="B337" s="18" t="s">
        <v>841</v>
      </c>
      <c r="C337" s="44" t="s">
        <v>1284</v>
      </c>
      <c r="D337" s="20" t="s">
        <v>4097</v>
      </c>
      <c r="E337" s="51" t="s">
        <v>1157</v>
      </c>
      <c r="F337" s="10">
        <v>44082</v>
      </c>
      <c r="G337" s="5" t="s">
        <v>4394</v>
      </c>
      <c r="H337" s="2"/>
      <c r="I337" s="4">
        <v>9764318</v>
      </c>
      <c r="J337" s="4">
        <v>9767226</v>
      </c>
      <c r="K337" s="4">
        <v>0</v>
      </c>
      <c r="L337" s="2"/>
      <c r="M337" s="5" t="s">
        <v>3</v>
      </c>
      <c r="N337" s="5" t="s">
        <v>2616</v>
      </c>
      <c r="O337" s="5" t="s">
        <v>928</v>
      </c>
      <c r="P337" s="16" t="s">
        <v>3</v>
      </c>
    </row>
    <row r="338" spans="2:16" x14ac:dyDescent="0.25">
      <c r="B338" s="18" t="s">
        <v>1942</v>
      </c>
      <c r="C338" s="44" t="s">
        <v>3428</v>
      </c>
      <c r="D338" s="20" t="s">
        <v>3429</v>
      </c>
      <c r="E338" s="51" t="s">
        <v>1157</v>
      </c>
      <c r="F338" s="10">
        <v>44039</v>
      </c>
      <c r="G338" s="5" t="s">
        <v>2392</v>
      </c>
      <c r="H338" s="2"/>
      <c r="I338" s="4">
        <v>7000000</v>
      </c>
      <c r="J338" s="4">
        <v>7000000</v>
      </c>
      <c r="K338" s="4">
        <v>0</v>
      </c>
      <c r="L338" s="2"/>
      <c r="M338" s="5" t="s">
        <v>2322</v>
      </c>
      <c r="N338" s="5" t="s">
        <v>2128</v>
      </c>
      <c r="O338" s="5" t="s">
        <v>928</v>
      </c>
      <c r="P338" s="16" t="s">
        <v>3</v>
      </c>
    </row>
    <row r="339" spans="2:16" x14ac:dyDescent="0.25">
      <c r="B339" s="18" t="s">
        <v>3027</v>
      </c>
      <c r="C339" s="44" t="s">
        <v>1095</v>
      </c>
      <c r="D339" s="20" t="s">
        <v>3253</v>
      </c>
      <c r="E339" s="51" t="s">
        <v>1157</v>
      </c>
      <c r="F339" s="10">
        <v>43886</v>
      </c>
      <c r="G339" s="5" t="s">
        <v>3271</v>
      </c>
      <c r="H339" s="2"/>
      <c r="I339" s="4">
        <v>7000000</v>
      </c>
      <c r="J339" s="4">
        <v>7000000</v>
      </c>
      <c r="K339" s="4">
        <v>0</v>
      </c>
      <c r="L339" s="2"/>
      <c r="M339" s="5" t="s">
        <v>3</v>
      </c>
      <c r="N339" s="5" t="s">
        <v>3254</v>
      </c>
      <c r="O339" s="5" t="s">
        <v>928</v>
      </c>
      <c r="P339" s="16" t="s">
        <v>3</v>
      </c>
    </row>
    <row r="340" spans="2:16" x14ac:dyDescent="0.25">
      <c r="B340" s="18" t="s">
        <v>842</v>
      </c>
      <c r="C340" s="44" t="s">
        <v>1902</v>
      </c>
      <c r="D340" s="20" t="s">
        <v>1903</v>
      </c>
      <c r="E340" s="51" t="s">
        <v>1157</v>
      </c>
      <c r="F340" s="10">
        <v>44099</v>
      </c>
      <c r="G340" s="5" t="s">
        <v>1293</v>
      </c>
      <c r="H340" s="2"/>
      <c r="I340" s="4">
        <v>10000000</v>
      </c>
      <c r="J340" s="4">
        <v>10000000</v>
      </c>
      <c r="K340" s="4">
        <v>0</v>
      </c>
      <c r="L340" s="2"/>
      <c r="M340" s="5" t="s">
        <v>3</v>
      </c>
      <c r="N340" s="5" t="s">
        <v>1541</v>
      </c>
      <c r="O340" s="5" t="s">
        <v>928</v>
      </c>
      <c r="P340" s="16" t="s">
        <v>3</v>
      </c>
    </row>
    <row r="341" spans="2:16" x14ac:dyDescent="0.25">
      <c r="B341" s="18" t="s">
        <v>1943</v>
      </c>
      <c r="C341" s="44" t="s">
        <v>3214</v>
      </c>
      <c r="D341" s="20" t="s">
        <v>2572</v>
      </c>
      <c r="E341" s="51" t="s">
        <v>2218</v>
      </c>
      <c r="F341" s="10">
        <v>44173</v>
      </c>
      <c r="G341" s="5" t="s">
        <v>999</v>
      </c>
      <c r="H341" s="2"/>
      <c r="I341" s="4">
        <v>5000000</v>
      </c>
      <c r="J341" s="4">
        <v>5000000</v>
      </c>
      <c r="K341" s="4">
        <v>0</v>
      </c>
      <c r="L341" s="2"/>
      <c r="M341" s="5" t="s">
        <v>3</v>
      </c>
      <c r="N341" s="5" t="s">
        <v>1253</v>
      </c>
      <c r="O341" s="5" t="s">
        <v>1253</v>
      </c>
      <c r="P341" s="16" t="s">
        <v>3</v>
      </c>
    </row>
    <row r="342" spans="2:16" x14ac:dyDescent="0.25">
      <c r="B342" s="18" t="s">
        <v>3028</v>
      </c>
      <c r="C342" s="44" t="s">
        <v>2924</v>
      </c>
      <c r="D342" s="20" t="s">
        <v>1254</v>
      </c>
      <c r="E342" s="51" t="s">
        <v>1157</v>
      </c>
      <c r="F342" s="10">
        <v>43888</v>
      </c>
      <c r="G342" s="5" t="s">
        <v>1293</v>
      </c>
      <c r="H342" s="2"/>
      <c r="I342" s="4">
        <v>10000000</v>
      </c>
      <c r="J342" s="4">
        <v>10000000</v>
      </c>
      <c r="K342" s="4">
        <v>0</v>
      </c>
      <c r="L342" s="2"/>
      <c r="M342" s="5" t="s">
        <v>412</v>
      </c>
      <c r="N342" s="5" t="s">
        <v>1846</v>
      </c>
      <c r="O342" s="5" t="s">
        <v>1057</v>
      </c>
      <c r="P342" s="16" t="s">
        <v>3</v>
      </c>
    </row>
    <row r="343" spans="2:16" x14ac:dyDescent="0.25">
      <c r="B343" s="18" t="s">
        <v>4154</v>
      </c>
      <c r="C343" s="44" t="s">
        <v>3435</v>
      </c>
      <c r="D343" s="20" t="s">
        <v>3436</v>
      </c>
      <c r="E343" s="51" t="s">
        <v>1157</v>
      </c>
      <c r="F343" s="10">
        <v>44186</v>
      </c>
      <c r="G343" s="5" t="s">
        <v>1293</v>
      </c>
      <c r="H343" s="2"/>
      <c r="I343" s="4">
        <v>2000000</v>
      </c>
      <c r="J343" s="4">
        <v>2000000</v>
      </c>
      <c r="K343" s="4">
        <v>0</v>
      </c>
      <c r="L343" s="2"/>
      <c r="M343" s="5" t="s">
        <v>3</v>
      </c>
      <c r="N343" s="5" t="s">
        <v>3681</v>
      </c>
      <c r="O343" s="5" t="s">
        <v>3682</v>
      </c>
      <c r="P343" s="16" t="s">
        <v>3</v>
      </c>
    </row>
    <row r="344" spans="2:16" x14ac:dyDescent="0.25">
      <c r="B344" s="7" t="s">
        <v>2713</v>
      </c>
      <c r="C344" s="1" t="s">
        <v>2713</v>
      </c>
      <c r="D344" s="8" t="s">
        <v>2713</v>
      </c>
      <c r="E344" s="1" t="s">
        <v>2713</v>
      </c>
      <c r="F344" s="1" t="s">
        <v>2713</v>
      </c>
      <c r="G344" s="1" t="s">
        <v>2713</v>
      </c>
      <c r="H344" s="1" t="s">
        <v>2713</v>
      </c>
      <c r="I344" s="1" t="s">
        <v>2713</v>
      </c>
      <c r="J344" s="1" t="s">
        <v>2713</v>
      </c>
      <c r="K344" s="1" t="s">
        <v>2713</v>
      </c>
      <c r="L344" s="1" t="s">
        <v>2713</v>
      </c>
      <c r="M344" s="1" t="s">
        <v>2713</v>
      </c>
      <c r="N344" s="1" t="s">
        <v>2713</v>
      </c>
      <c r="O344" s="1" t="s">
        <v>2713</v>
      </c>
      <c r="P344" s="1" t="s">
        <v>2713</v>
      </c>
    </row>
    <row r="345" spans="2:16" ht="41.4" x14ac:dyDescent="0.25">
      <c r="B345" s="21" t="s">
        <v>1542</v>
      </c>
      <c r="C345" s="19" t="s">
        <v>519</v>
      </c>
      <c r="D345" s="17"/>
      <c r="E345" s="2"/>
      <c r="F345" s="2"/>
      <c r="G345" s="2"/>
      <c r="H345" s="2"/>
      <c r="I345" s="3">
        <f>SUM('GMIC_2020-Annu_SCDPT3'!SCDPT3_38BEGIN_7:'GMIC_2020-Annu_SCDPT3'!SCDPT3_38ENDIN_7)</f>
        <v>1792393434</v>
      </c>
      <c r="J345" s="3">
        <f>SUM('GMIC_2020-Annu_SCDPT3'!SCDPT3_38BEGIN_8:'GMIC_2020-Annu_SCDPT3'!SCDPT3_38ENDIN_8)</f>
        <v>1774419300</v>
      </c>
      <c r="K345" s="3">
        <f>SUM('GMIC_2020-Annu_SCDPT3'!SCDPT3_38BEGIN_9:'GMIC_2020-Annu_SCDPT3'!SCDPT3_38ENDIN_9)</f>
        <v>2657333</v>
      </c>
      <c r="L345" s="2"/>
      <c r="M345" s="2"/>
      <c r="N345" s="2"/>
      <c r="O345" s="2"/>
      <c r="P345" s="2"/>
    </row>
    <row r="346" spans="2:16" x14ac:dyDescent="0.25">
      <c r="B346" s="7" t="s">
        <v>2713</v>
      </c>
      <c r="C346" s="1" t="s">
        <v>2713</v>
      </c>
      <c r="D346" s="8" t="s">
        <v>2713</v>
      </c>
      <c r="E346" s="1" t="s">
        <v>2713</v>
      </c>
      <c r="F346" s="1" t="s">
        <v>2713</v>
      </c>
      <c r="G346" s="1" t="s">
        <v>2713</v>
      </c>
      <c r="H346" s="1" t="s">
        <v>2713</v>
      </c>
      <c r="I346" s="1" t="s">
        <v>2713</v>
      </c>
      <c r="J346" s="1" t="s">
        <v>2713</v>
      </c>
      <c r="K346" s="1" t="s">
        <v>2713</v>
      </c>
      <c r="L346" s="1" t="s">
        <v>2713</v>
      </c>
      <c r="M346" s="1" t="s">
        <v>2713</v>
      </c>
      <c r="N346" s="1" t="s">
        <v>2713</v>
      </c>
      <c r="O346" s="1" t="s">
        <v>2713</v>
      </c>
      <c r="P346" s="1" t="s">
        <v>2713</v>
      </c>
    </row>
    <row r="347" spans="2:16" x14ac:dyDescent="0.25">
      <c r="B347" s="18" t="s">
        <v>3029</v>
      </c>
      <c r="C347" s="25" t="s">
        <v>3846</v>
      </c>
      <c r="D347" s="20" t="s">
        <v>3</v>
      </c>
      <c r="E347" s="22" t="s">
        <v>3</v>
      </c>
      <c r="F347" s="6"/>
      <c r="G347" s="5" t="s">
        <v>3</v>
      </c>
      <c r="H347" s="2"/>
      <c r="I347" s="4"/>
      <c r="J347" s="4"/>
      <c r="K347" s="4"/>
      <c r="L347" s="2"/>
      <c r="M347" s="5" t="s">
        <v>3</v>
      </c>
      <c r="N347" s="5" t="s">
        <v>3</v>
      </c>
      <c r="O347" s="5" t="s">
        <v>3</v>
      </c>
      <c r="P347" s="16" t="s">
        <v>3</v>
      </c>
    </row>
    <row r="348" spans="2:16" x14ac:dyDescent="0.25">
      <c r="B348" s="7" t="s">
        <v>2713</v>
      </c>
      <c r="C348" s="1" t="s">
        <v>2713</v>
      </c>
      <c r="D348" s="8" t="s">
        <v>2713</v>
      </c>
      <c r="E348" s="1" t="s">
        <v>2713</v>
      </c>
      <c r="F348" s="1" t="s">
        <v>2713</v>
      </c>
      <c r="G348" s="1" t="s">
        <v>2713</v>
      </c>
      <c r="H348" s="1" t="s">
        <v>2713</v>
      </c>
      <c r="I348" s="1" t="s">
        <v>2713</v>
      </c>
      <c r="J348" s="1" t="s">
        <v>2713</v>
      </c>
      <c r="K348" s="1" t="s">
        <v>2713</v>
      </c>
      <c r="L348" s="1" t="s">
        <v>2713</v>
      </c>
      <c r="M348" s="1" t="s">
        <v>2713</v>
      </c>
      <c r="N348" s="1" t="s">
        <v>2713</v>
      </c>
      <c r="O348" s="1" t="s">
        <v>2713</v>
      </c>
      <c r="P348" s="1" t="s">
        <v>2713</v>
      </c>
    </row>
    <row r="349" spans="2:16" ht="27.6" x14ac:dyDescent="0.25">
      <c r="B349" s="21" t="s">
        <v>4386</v>
      </c>
      <c r="C349" s="19" t="s">
        <v>520</v>
      </c>
      <c r="D349" s="17"/>
      <c r="E349" s="2"/>
      <c r="F349" s="2"/>
      <c r="G349" s="2"/>
      <c r="H349" s="2"/>
      <c r="I349" s="3">
        <f>SUM('GMIC_2020-Annu_SCDPT3'!SCDPT3_48BEGIN_7:'GMIC_2020-Annu_SCDPT3'!SCDPT3_48ENDIN_7)</f>
        <v>0</v>
      </c>
      <c r="J349" s="3">
        <f>SUM('GMIC_2020-Annu_SCDPT3'!SCDPT3_48BEGIN_8:'GMIC_2020-Annu_SCDPT3'!SCDPT3_48ENDIN_8)</f>
        <v>0</v>
      </c>
      <c r="K349" s="3">
        <f>SUM('GMIC_2020-Annu_SCDPT3'!SCDPT3_48BEGIN_9:'GMIC_2020-Annu_SCDPT3'!SCDPT3_48ENDIN_9)</f>
        <v>0</v>
      </c>
      <c r="L349" s="2"/>
      <c r="M349" s="2"/>
      <c r="N349" s="2"/>
      <c r="O349" s="2"/>
      <c r="P349" s="2"/>
    </row>
    <row r="350" spans="2:16" x14ac:dyDescent="0.25">
      <c r="B350" s="7" t="s">
        <v>2713</v>
      </c>
      <c r="C350" s="1" t="s">
        <v>2713</v>
      </c>
      <c r="D350" s="8" t="s">
        <v>2713</v>
      </c>
      <c r="E350" s="1" t="s">
        <v>2713</v>
      </c>
      <c r="F350" s="1" t="s">
        <v>2713</v>
      </c>
      <c r="G350" s="1" t="s">
        <v>2713</v>
      </c>
      <c r="H350" s="1" t="s">
        <v>2713</v>
      </c>
      <c r="I350" s="1" t="s">
        <v>2713</v>
      </c>
      <c r="J350" s="1" t="s">
        <v>2713</v>
      </c>
      <c r="K350" s="1" t="s">
        <v>2713</v>
      </c>
      <c r="L350" s="1" t="s">
        <v>2713</v>
      </c>
      <c r="M350" s="1" t="s">
        <v>2713</v>
      </c>
      <c r="N350" s="1" t="s">
        <v>2713</v>
      </c>
      <c r="O350" s="1" t="s">
        <v>2713</v>
      </c>
      <c r="P350" s="1" t="s">
        <v>2713</v>
      </c>
    </row>
    <row r="351" spans="2:16" x14ac:dyDescent="0.25">
      <c r="B351" s="18" t="s">
        <v>3495</v>
      </c>
      <c r="C351" s="25" t="s">
        <v>3846</v>
      </c>
      <c r="D351" s="20" t="s">
        <v>3</v>
      </c>
      <c r="E351" s="22" t="s">
        <v>3</v>
      </c>
      <c r="F351" s="6"/>
      <c r="G351" s="5" t="s">
        <v>3</v>
      </c>
      <c r="H351" s="2"/>
      <c r="I351" s="4"/>
      <c r="J351" s="4"/>
      <c r="K351" s="4"/>
      <c r="L351" s="2"/>
      <c r="M351" s="5" t="s">
        <v>3</v>
      </c>
      <c r="N351" s="5" t="s">
        <v>3</v>
      </c>
      <c r="O351" s="5" t="s">
        <v>3</v>
      </c>
      <c r="P351" s="16" t="s">
        <v>3</v>
      </c>
    </row>
    <row r="352" spans="2:16" x14ac:dyDescent="0.25">
      <c r="B352" s="7" t="s">
        <v>2713</v>
      </c>
      <c r="C352" s="1" t="s">
        <v>2713</v>
      </c>
      <c r="D352" s="8" t="s">
        <v>2713</v>
      </c>
      <c r="E352" s="1" t="s">
        <v>2713</v>
      </c>
      <c r="F352" s="1" t="s">
        <v>2713</v>
      </c>
      <c r="G352" s="1" t="s">
        <v>2713</v>
      </c>
      <c r="H352" s="1" t="s">
        <v>2713</v>
      </c>
      <c r="I352" s="1" t="s">
        <v>2713</v>
      </c>
      <c r="J352" s="1" t="s">
        <v>2713</v>
      </c>
      <c r="K352" s="1" t="s">
        <v>2713</v>
      </c>
      <c r="L352" s="1" t="s">
        <v>2713</v>
      </c>
      <c r="M352" s="1" t="s">
        <v>2713</v>
      </c>
      <c r="N352" s="1" t="s">
        <v>2713</v>
      </c>
      <c r="O352" s="1" t="s">
        <v>2713</v>
      </c>
      <c r="P352" s="1" t="s">
        <v>2713</v>
      </c>
    </row>
    <row r="353" spans="2:16" ht="27.6" x14ac:dyDescent="0.25">
      <c r="B353" s="21" t="s">
        <v>470</v>
      </c>
      <c r="C353" s="19" t="s">
        <v>1110</v>
      </c>
      <c r="D353" s="17"/>
      <c r="E353" s="2"/>
      <c r="F353" s="2"/>
      <c r="G353" s="2"/>
      <c r="H353" s="2"/>
      <c r="I353" s="3">
        <f>SUM('GMIC_2020-Annu_SCDPT3'!SCDPT3_55BEGIN_7:'GMIC_2020-Annu_SCDPT3'!SCDPT3_55ENDIN_7)</f>
        <v>0</v>
      </c>
      <c r="J353" s="3">
        <f>SUM('GMIC_2020-Annu_SCDPT3'!SCDPT3_55BEGIN_8:'GMIC_2020-Annu_SCDPT3'!SCDPT3_55ENDIN_8)</f>
        <v>0</v>
      </c>
      <c r="K353" s="3">
        <f>SUM('GMIC_2020-Annu_SCDPT3'!SCDPT3_55BEGIN_9:'GMIC_2020-Annu_SCDPT3'!SCDPT3_55ENDIN_9)</f>
        <v>0</v>
      </c>
      <c r="L353" s="2"/>
      <c r="M353" s="2"/>
      <c r="N353" s="2"/>
      <c r="O353" s="2"/>
      <c r="P353" s="2"/>
    </row>
    <row r="354" spans="2:16" x14ac:dyDescent="0.25">
      <c r="B354" s="7" t="s">
        <v>2713</v>
      </c>
      <c r="C354" s="1" t="s">
        <v>2713</v>
      </c>
      <c r="D354" s="8" t="s">
        <v>2713</v>
      </c>
      <c r="E354" s="1" t="s">
        <v>2713</v>
      </c>
      <c r="F354" s="1" t="s">
        <v>2713</v>
      </c>
      <c r="G354" s="1" t="s">
        <v>2713</v>
      </c>
      <c r="H354" s="1" t="s">
        <v>2713</v>
      </c>
      <c r="I354" s="1" t="s">
        <v>2713</v>
      </c>
      <c r="J354" s="1" t="s">
        <v>2713</v>
      </c>
      <c r="K354" s="1" t="s">
        <v>2713</v>
      </c>
      <c r="L354" s="1" t="s">
        <v>2713</v>
      </c>
      <c r="M354" s="1" t="s">
        <v>2713</v>
      </c>
      <c r="N354" s="1" t="s">
        <v>2713</v>
      </c>
      <c r="O354" s="1" t="s">
        <v>2713</v>
      </c>
      <c r="P354" s="1" t="s">
        <v>2713</v>
      </c>
    </row>
    <row r="355" spans="2:16" x14ac:dyDescent="0.25">
      <c r="B355" s="18" t="s">
        <v>2184</v>
      </c>
      <c r="C355" s="25" t="s">
        <v>3846</v>
      </c>
      <c r="D355" s="20" t="s">
        <v>3</v>
      </c>
      <c r="E355" s="22" t="s">
        <v>3</v>
      </c>
      <c r="F355" s="6"/>
      <c r="G355" s="5" t="s">
        <v>3</v>
      </c>
      <c r="H355" s="28"/>
      <c r="I355" s="4"/>
      <c r="J355" s="4"/>
      <c r="K355" s="4"/>
      <c r="L355" s="2"/>
      <c r="M355" s="5" t="s">
        <v>3</v>
      </c>
      <c r="N355" s="5" t="s">
        <v>3</v>
      </c>
      <c r="O355" s="5" t="s">
        <v>3</v>
      </c>
      <c r="P355" s="16" t="s">
        <v>3</v>
      </c>
    </row>
    <row r="356" spans="2:16" x14ac:dyDescent="0.25">
      <c r="B356" s="7" t="s">
        <v>2713</v>
      </c>
      <c r="C356" s="1" t="s">
        <v>2713</v>
      </c>
      <c r="D356" s="8" t="s">
        <v>2713</v>
      </c>
      <c r="E356" s="1" t="s">
        <v>2713</v>
      </c>
      <c r="F356" s="1" t="s">
        <v>2713</v>
      </c>
      <c r="G356" s="1" t="s">
        <v>2713</v>
      </c>
      <c r="H356" s="1" t="s">
        <v>2713</v>
      </c>
      <c r="I356" s="1" t="s">
        <v>2713</v>
      </c>
      <c r="J356" s="1" t="s">
        <v>2713</v>
      </c>
      <c r="K356" s="1" t="s">
        <v>2713</v>
      </c>
      <c r="L356" s="1" t="s">
        <v>2713</v>
      </c>
      <c r="M356" s="1" t="s">
        <v>2713</v>
      </c>
      <c r="N356" s="1" t="s">
        <v>2713</v>
      </c>
      <c r="O356" s="1" t="s">
        <v>2713</v>
      </c>
      <c r="P356" s="1" t="s">
        <v>2713</v>
      </c>
    </row>
    <row r="357" spans="2:16" ht="27.6" x14ac:dyDescent="0.25">
      <c r="B357" s="21" t="s">
        <v>3471</v>
      </c>
      <c r="C357" s="19" t="s">
        <v>3798</v>
      </c>
      <c r="D357" s="17"/>
      <c r="E357" s="2"/>
      <c r="F357" s="2"/>
      <c r="G357" s="2"/>
      <c r="H357" s="2"/>
      <c r="I357" s="3">
        <f>SUM('GMIC_2020-Annu_SCDPT3'!SCDPT3_80BEGIN_7:'GMIC_2020-Annu_SCDPT3'!SCDPT3_80ENDIN_7)</f>
        <v>0</v>
      </c>
      <c r="J357" s="3">
        <f>SUM('GMIC_2020-Annu_SCDPT3'!SCDPT3_80BEGIN_8:'GMIC_2020-Annu_SCDPT3'!SCDPT3_80ENDIN_8)</f>
        <v>0</v>
      </c>
      <c r="K357" s="3">
        <f>SUM('GMIC_2020-Annu_SCDPT3'!SCDPT3_80BEGIN_9:'GMIC_2020-Annu_SCDPT3'!SCDPT3_80ENDIN_9)</f>
        <v>0</v>
      </c>
      <c r="L357" s="2"/>
      <c r="M357" s="2"/>
      <c r="N357" s="2"/>
      <c r="O357" s="2"/>
      <c r="P357" s="2"/>
    </row>
    <row r="358" spans="2:16" x14ac:dyDescent="0.25">
      <c r="B358" s="7" t="s">
        <v>2713</v>
      </c>
      <c r="C358" s="1" t="s">
        <v>2713</v>
      </c>
      <c r="D358" s="8" t="s">
        <v>2713</v>
      </c>
      <c r="E358" s="1" t="s">
        <v>2713</v>
      </c>
      <c r="F358" s="1" t="s">
        <v>2713</v>
      </c>
      <c r="G358" s="1" t="s">
        <v>2713</v>
      </c>
      <c r="H358" s="1" t="s">
        <v>2713</v>
      </c>
      <c r="I358" s="1" t="s">
        <v>2713</v>
      </c>
      <c r="J358" s="1" t="s">
        <v>2713</v>
      </c>
      <c r="K358" s="1" t="s">
        <v>2713</v>
      </c>
      <c r="L358" s="1" t="s">
        <v>2713</v>
      </c>
      <c r="M358" s="1" t="s">
        <v>2713</v>
      </c>
      <c r="N358" s="1" t="s">
        <v>2713</v>
      </c>
      <c r="O358" s="1" t="s">
        <v>2713</v>
      </c>
      <c r="P358" s="1" t="s">
        <v>2713</v>
      </c>
    </row>
    <row r="359" spans="2:16" x14ac:dyDescent="0.25">
      <c r="B359" s="18" t="s">
        <v>521</v>
      </c>
      <c r="C359" s="25" t="s">
        <v>3846</v>
      </c>
      <c r="D359" s="20" t="s">
        <v>3</v>
      </c>
      <c r="E359" s="22" t="s">
        <v>3</v>
      </c>
      <c r="F359" s="6"/>
      <c r="G359" s="5" t="s">
        <v>3</v>
      </c>
      <c r="H359" s="2"/>
      <c r="I359" s="4"/>
      <c r="J359" s="4"/>
      <c r="K359" s="4"/>
      <c r="L359" s="2"/>
      <c r="M359" s="5" t="s">
        <v>3</v>
      </c>
      <c r="N359" s="5" t="s">
        <v>3</v>
      </c>
      <c r="O359" s="5" t="s">
        <v>3</v>
      </c>
      <c r="P359" s="16" t="s">
        <v>3</v>
      </c>
    </row>
    <row r="360" spans="2:16" x14ac:dyDescent="0.25">
      <c r="B360" s="7" t="s">
        <v>2713</v>
      </c>
      <c r="C360" s="1" t="s">
        <v>2713</v>
      </c>
      <c r="D360" s="8" t="s">
        <v>2713</v>
      </c>
      <c r="E360" s="1" t="s">
        <v>2713</v>
      </c>
      <c r="F360" s="1" t="s">
        <v>2713</v>
      </c>
      <c r="G360" s="1" t="s">
        <v>2713</v>
      </c>
      <c r="H360" s="1" t="s">
        <v>2713</v>
      </c>
      <c r="I360" s="1" t="s">
        <v>2713</v>
      </c>
      <c r="J360" s="1" t="s">
        <v>2713</v>
      </c>
      <c r="K360" s="1" t="s">
        <v>2713</v>
      </c>
      <c r="L360" s="1" t="s">
        <v>2713</v>
      </c>
      <c r="M360" s="1" t="s">
        <v>2713</v>
      </c>
      <c r="N360" s="1" t="s">
        <v>2713</v>
      </c>
      <c r="O360" s="1" t="s">
        <v>2713</v>
      </c>
      <c r="P360" s="1" t="s">
        <v>2713</v>
      </c>
    </row>
    <row r="361" spans="2:16" ht="27.6" x14ac:dyDescent="0.25">
      <c r="B361" s="21" t="s">
        <v>1907</v>
      </c>
      <c r="C361" s="19" t="s">
        <v>1111</v>
      </c>
      <c r="D361" s="17"/>
      <c r="E361" s="2"/>
      <c r="F361" s="2"/>
      <c r="G361" s="2"/>
      <c r="H361" s="2"/>
      <c r="I361" s="3">
        <f>SUM('GMIC_2020-Annu_SCDPT3'!SCDPT3_82BEGIN_7:'GMIC_2020-Annu_SCDPT3'!SCDPT3_82ENDIN_7)</f>
        <v>0</v>
      </c>
      <c r="J361" s="3">
        <f>SUM('GMIC_2020-Annu_SCDPT3'!SCDPT3_82BEGIN_8:'GMIC_2020-Annu_SCDPT3'!SCDPT3_82ENDIN_8)</f>
        <v>0</v>
      </c>
      <c r="K361" s="3">
        <f>SUM('GMIC_2020-Annu_SCDPT3'!SCDPT3_82BEGIN_9:'GMIC_2020-Annu_SCDPT3'!SCDPT3_82ENDIN_9)</f>
        <v>0</v>
      </c>
      <c r="L361" s="2"/>
      <c r="M361" s="2"/>
      <c r="N361" s="2"/>
      <c r="O361" s="2"/>
      <c r="P361" s="2"/>
    </row>
    <row r="362" spans="2:16" x14ac:dyDescent="0.25">
      <c r="B362" s="21" t="s">
        <v>3272</v>
      </c>
      <c r="C362" s="19" t="s">
        <v>3496</v>
      </c>
      <c r="D362" s="17"/>
      <c r="E362" s="2"/>
      <c r="F362" s="2"/>
      <c r="G362" s="2"/>
      <c r="H362" s="2"/>
      <c r="I362" s="3">
        <f>'GMIC_2020-Annu_SCDPT3'!SCDPT3_0599999_7+'GMIC_2020-Annu_SCDPT3'!SCDPT3_1099999_7+'GMIC_2020-Annu_SCDPT3'!SCDPT3_1799999_7+'GMIC_2020-Annu_SCDPT3'!SCDPT3_2499999_7+'GMIC_2020-Annu_SCDPT3'!SCDPT3_3199999_7+'GMIC_2020-Annu_SCDPT3'!SCDPT3_3899999_7+'GMIC_2020-Annu_SCDPT3'!SCDPT3_4899999_7+'GMIC_2020-Annu_SCDPT3'!SCDPT3_5599999_7+'GMIC_2020-Annu_SCDPT3'!SCDPT3_8099999_7+'GMIC_2020-Annu_SCDPT3'!SCDPT3_8299999_7</f>
        <v>1925327987</v>
      </c>
      <c r="J362" s="3">
        <f>'GMIC_2020-Annu_SCDPT3'!SCDPT3_0599999_8+'GMIC_2020-Annu_SCDPT3'!SCDPT3_1099999_8+'GMIC_2020-Annu_SCDPT3'!SCDPT3_1799999_8+'GMIC_2020-Annu_SCDPT3'!SCDPT3_2499999_8+'GMIC_2020-Annu_SCDPT3'!SCDPT3_3199999_8+'GMIC_2020-Annu_SCDPT3'!SCDPT3_3899999_8+'GMIC_2020-Annu_SCDPT3'!SCDPT3_4899999_8+'GMIC_2020-Annu_SCDPT3'!SCDPT3_5599999_8+'GMIC_2020-Annu_SCDPT3'!SCDPT3_8099999_8+'GMIC_2020-Annu_SCDPT3'!SCDPT3_8299999_8</f>
        <v>1907454300</v>
      </c>
      <c r="K362" s="3">
        <f>'GMIC_2020-Annu_SCDPT3'!SCDPT3_0599999_9+'GMIC_2020-Annu_SCDPT3'!SCDPT3_1099999_9+'GMIC_2020-Annu_SCDPT3'!SCDPT3_1799999_9+'GMIC_2020-Annu_SCDPT3'!SCDPT3_2499999_9+'GMIC_2020-Annu_SCDPT3'!SCDPT3_3199999_9+'GMIC_2020-Annu_SCDPT3'!SCDPT3_3899999_9+'GMIC_2020-Annu_SCDPT3'!SCDPT3_4899999_9+'GMIC_2020-Annu_SCDPT3'!SCDPT3_5599999_9+'GMIC_2020-Annu_SCDPT3'!SCDPT3_8099999_9+'GMIC_2020-Annu_SCDPT3'!SCDPT3_8299999_9</f>
        <v>2675294</v>
      </c>
      <c r="L362" s="2"/>
      <c r="M362" s="2"/>
      <c r="N362" s="2"/>
      <c r="O362" s="2"/>
      <c r="P362" s="2"/>
    </row>
    <row r="363" spans="2:16" x14ac:dyDescent="0.25">
      <c r="B363" s="21" t="s">
        <v>206</v>
      </c>
      <c r="C363" s="19" t="s">
        <v>1312</v>
      </c>
      <c r="D363" s="17"/>
      <c r="E363" s="2"/>
      <c r="F363" s="2"/>
      <c r="G363" s="2"/>
      <c r="H363" s="2"/>
      <c r="I363" s="30">
        <v>87971786</v>
      </c>
      <c r="J363" s="30">
        <v>87462775.170000002</v>
      </c>
      <c r="K363" s="30">
        <v>323931</v>
      </c>
      <c r="L363" s="2"/>
      <c r="M363" s="2"/>
      <c r="N363" s="2"/>
      <c r="O363" s="2"/>
      <c r="P363" s="2"/>
    </row>
    <row r="364" spans="2:16" x14ac:dyDescent="0.25">
      <c r="B364" s="21" t="s">
        <v>1289</v>
      </c>
      <c r="C364" s="19" t="s">
        <v>2393</v>
      </c>
      <c r="D364" s="17"/>
      <c r="E364" s="2"/>
      <c r="F364" s="2"/>
      <c r="G364" s="2"/>
      <c r="H364" s="2"/>
      <c r="I364" s="3">
        <f>'GMIC_2020-Annu_SCDPT3'!SCDPT3_8399997_7+'GMIC_2020-Annu_SCDPT3'!SCDPT3_8399998_7</f>
        <v>2013299773</v>
      </c>
      <c r="J364" s="3">
        <f>'GMIC_2020-Annu_SCDPT3'!SCDPT3_8399997_8+'GMIC_2020-Annu_SCDPT3'!SCDPT3_8399998_8</f>
        <v>1994917075.1700001</v>
      </c>
      <c r="K364" s="3">
        <f>'GMIC_2020-Annu_SCDPT3'!SCDPT3_8399997_9+'GMIC_2020-Annu_SCDPT3'!SCDPT3_8399998_9</f>
        <v>2999225</v>
      </c>
      <c r="L364" s="2"/>
      <c r="M364" s="2"/>
      <c r="N364" s="2"/>
      <c r="O364" s="2"/>
      <c r="P364" s="2"/>
    </row>
    <row r="365" spans="2:16" x14ac:dyDescent="0.25">
      <c r="B365" s="7" t="s">
        <v>2713</v>
      </c>
      <c r="C365" s="1" t="s">
        <v>2713</v>
      </c>
      <c r="D365" s="8" t="s">
        <v>2713</v>
      </c>
      <c r="E365" s="1" t="s">
        <v>2713</v>
      </c>
      <c r="F365" s="1" t="s">
        <v>2713</v>
      </c>
      <c r="G365" s="1" t="s">
        <v>2713</v>
      </c>
      <c r="H365" s="1" t="s">
        <v>2713</v>
      </c>
      <c r="I365" s="1" t="s">
        <v>2713</v>
      </c>
      <c r="J365" s="1" t="s">
        <v>2713</v>
      </c>
      <c r="K365" s="1" t="s">
        <v>2713</v>
      </c>
      <c r="L365" s="1" t="s">
        <v>2713</v>
      </c>
      <c r="M365" s="1" t="s">
        <v>2713</v>
      </c>
      <c r="N365" s="1" t="s">
        <v>2713</v>
      </c>
      <c r="O365" s="1" t="s">
        <v>2713</v>
      </c>
      <c r="P365" s="1" t="s">
        <v>2713</v>
      </c>
    </row>
    <row r="366" spans="2:16" x14ac:dyDescent="0.25">
      <c r="B366" s="18" t="s">
        <v>3497</v>
      </c>
      <c r="C366" s="25" t="s">
        <v>3846</v>
      </c>
      <c r="D366" s="20" t="s">
        <v>3</v>
      </c>
      <c r="E366" s="22" t="s">
        <v>3</v>
      </c>
      <c r="F366" s="6"/>
      <c r="G366" s="5" t="s">
        <v>3</v>
      </c>
      <c r="H366" s="28"/>
      <c r="I366" s="4"/>
      <c r="J366" s="60"/>
      <c r="K366" s="4"/>
      <c r="L366" s="2"/>
      <c r="M366" s="5" t="s">
        <v>3</v>
      </c>
      <c r="N366" s="5" t="s">
        <v>3</v>
      </c>
      <c r="O366" s="5" t="s">
        <v>3</v>
      </c>
      <c r="P366" s="16" t="s">
        <v>3</v>
      </c>
    </row>
    <row r="367" spans="2:16" x14ac:dyDescent="0.25">
      <c r="B367" s="7" t="s">
        <v>2713</v>
      </c>
      <c r="C367" s="1" t="s">
        <v>2713</v>
      </c>
      <c r="D367" s="8" t="s">
        <v>2713</v>
      </c>
      <c r="E367" s="1" t="s">
        <v>2713</v>
      </c>
      <c r="F367" s="1" t="s">
        <v>2713</v>
      </c>
      <c r="G367" s="1" t="s">
        <v>2713</v>
      </c>
      <c r="H367" s="1" t="s">
        <v>2713</v>
      </c>
      <c r="I367" s="1" t="s">
        <v>2713</v>
      </c>
      <c r="J367" s="1" t="s">
        <v>2713</v>
      </c>
      <c r="K367" s="1" t="s">
        <v>2713</v>
      </c>
      <c r="L367" s="1" t="s">
        <v>2713</v>
      </c>
      <c r="M367" s="1" t="s">
        <v>2713</v>
      </c>
      <c r="N367" s="1" t="s">
        <v>2713</v>
      </c>
      <c r="O367" s="1" t="s">
        <v>2713</v>
      </c>
      <c r="P367" s="1" t="s">
        <v>2713</v>
      </c>
    </row>
    <row r="368" spans="2:16" ht="55.2" x14ac:dyDescent="0.25">
      <c r="B368" s="21" t="s">
        <v>522</v>
      </c>
      <c r="C368" s="19" t="s">
        <v>4155</v>
      </c>
      <c r="D368" s="17"/>
      <c r="E368" s="2"/>
      <c r="F368" s="2"/>
      <c r="G368" s="2"/>
      <c r="H368" s="2"/>
      <c r="I368" s="3">
        <f>SUM('GMIC_2020-Annu_SCDPT3'!SCDPT3_84BEGIN_7:'GMIC_2020-Annu_SCDPT3'!SCDPT3_84ENDIN_7)</f>
        <v>0</v>
      </c>
      <c r="J368" s="2"/>
      <c r="K368" s="3">
        <f>SUM('GMIC_2020-Annu_SCDPT3'!SCDPT3_84BEGIN_9:'GMIC_2020-Annu_SCDPT3'!SCDPT3_84ENDIN_9)</f>
        <v>0</v>
      </c>
      <c r="L368" s="2"/>
      <c r="M368" s="2"/>
      <c r="N368" s="2"/>
      <c r="O368" s="2"/>
      <c r="P368" s="2"/>
    </row>
    <row r="369" spans="2:16" x14ac:dyDescent="0.25">
      <c r="B369" s="7" t="s">
        <v>2713</v>
      </c>
      <c r="C369" s="1" t="s">
        <v>2713</v>
      </c>
      <c r="D369" s="8" t="s">
        <v>2713</v>
      </c>
      <c r="E369" s="1" t="s">
        <v>2713</v>
      </c>
      <c r="F369" s="1" t="s">
        <v>2713</v>
      </c>
      <c r="G369" s="1" t="s">
        <v>2713</v>
      </c>
      <c r="H369" s="1" t="s">
        <v>2713</v>
      </c>
      <c r="I369" s="1" t="s">
        <v>2713</v>
      </c>
      <c r="J369" s="1" t="s">
        <v>2713</v>
      </c>
      <c r="K369" s="1" t="s">
        <v>2713</v>
      </c>
      <c r="L369" s="1" t="s">
        <v>2713</v>
      </c>
      <c r="M369" s="1" t="s">
        <v>2713</v>
      </c>
      <c r="N369" s="1" t="s">
        <v>2713</v>
      </c>
      <c r="O369" s="1" t="s">
        <v>2713</v>
      </c>
      <c r="P369" s="1" t="s">
        <v>2713</v>
      </c>
    </row>
    <row r="370" spans="2:16" x14ac:dyDescent="0.25">
      <c r="B370" s="18" t="s">
        <v>2680</v>
      </c>
      <c r="C370" s="25" t="s">
        <v>3846</v>
      </c>
      <c r="D370" s="20" t="s">
        <v>3</v>
      </c>
      <c r="E370" s="22" t="s">
        <v>3</v>
      </c>
      <c r="F370" s="6"/>
      <c r="G370" s="5" t="s">
        <v>3</v>
      </c>
      <c r="H370" s="28"/>
      <c r="I370" s="4"/>
      <c r="J370" s="60"/>
      <c r="K370" s="4"/>
      <c r="L370" s="2"/>
      <c r="M370" s="5" t="s">
        <v>3</v>
      </c>
      <c r="N370" s="5" t="s">
        <v>3</v>
      </c>
      <c r="O370" s="5" t="s">
        <v>3</v>
      </c>
      <c r="P370" s="16" t="s">
        <v>3</v>
      </c>
    </row>
    <row r="371" spans="2:16" x14ac:dyDescent="0.25">
      <c r="B371" s="7" t="s">
        <v>2713</v>
      </c>
      <c r="C371" s="1" t="s">
        <v>2713</v>
      </c>
      <c r="D371" s="8" t="s">
        <v>2713</v>
      </c>
      <c r="E371" s="1" t="s">
        <v>2713</v>
      </c>
      <c r="F371" s="1" t="s">
        <v>2713</v>
      </c>
      <c r="G371" s="1" t="s">
        <v>2713</v>
      </c>
      <c r="H371" s="1" t="s">
        <v>2713</v>
      </c>
      <c r="I371" s="1" t="s">
        <v>2713</v>
      </c>
      <c r="J371" s="1" t="s">
        <v>2713</v>
      </c>
      <c r="K371" s="1" t="s">
        <v>2713</v>
      </c>
      <c r="L371" s="1" t="s">
        <v>2713</v>
      </c>
      <c r="M371" s="1" t="s">
        <v>2713</v>
      </c>
      <c r="N371" s="1" t="s">
        <v>2713</v>
      </c>
      <c r="O371" s="1" t="s">
        <v>2713</v>
      </c>
      <c r="P371" s="1" t="s">
        <v>2713</v>
      </c>
    </row>
    <row r="372" spans="2:16" ht="55.2" x14ac:dyDescent="0.25">
      <c r="B372" s="21" t="s">
        <v>4156</v>
      </c>
      <c r="C372" s="19" t="s">
        <v>4157</v>
      </c>
      <c r="D372" s="17"/>
      <c r="E372" s="2"/>
      <c r="F372" s="2"/>
      <c r="G372" s="2"/>
      <c r="H372" s="2"/>
      <c r="I372" s="3">
        <f>SUM('GMIC_2020-Annu_SCDPT3'!SCDPT3_85BEGIN_7:'GMIC_2020-Annu_SCDPT3'!SCDPT3_85ENDIN_7)</f>
        <v>0</v>
      </c>
      <c r="J372" s="2"/>
      <c r="K372" s="3">
        <f>SUM('GMIC_2020-Annu_SCDPT3'!SCDPT3_85BEGIN_9:'GMIC_2020-Annu_SCDPT3'!SCDPT3_85ENDIN_9)</f>
        <v>0</v>
      </c>
      <c r="L372" s="2"/>
      <c r="M372" s="2"/>
      <c r="N372" s="2"/>
      <c r="O372" s="2"/>
      <c r="P372" s="2"/>
    </row>
    <row r="373" spans="2:16" x14ac:dyDescent="0.25">
      <c r="B373" s="7" t="s">
        <v>2713</v>
      </c>
      <c r="C373" s="1" t="s">
        <v>2713</v>
      </c>
      <c r="D373" s="8" t="s">
        <v>2713</v>
      </c>
      <c r="E373" s="1" t="s">
        <v>2713</v>
      </c>
      <c r="F373" s="1" t="s">
        <v>2713</v>
      </c>
      <c r="G373" s="1" t="s">
        <v>2713</v>
      </c>
      <c r="H373" s="1" t="s">
        <v>2713</v>
      </c>
      <c r="I373" s="1" t="s">
        <v>2713</v>
      </c>
      <c r="J373" s="1" t="s">
        <v>2713</v>
      </c>
      <c r="K373" s="1" t="s">
        <v>2713</v>
      </c>
      <c r="L373" s="1" t="s">
        <v>2713</v>
      </c>
      <c r="M373" s="1" t="s">
        <v>2713</v>
      </c>
      <c r="N373" s="1" t="s">
        <v>2713</v>
      </c>
      <c r="O373" s="1" t="s">
        <v>2713</v>
      </c>
      <c r="P373" s="1" t="s">
        <v>2713</v>
      </c>
    </row>
    <row r="374" spans="2:16" x14ac:dyDescent="0.25">
      <c r="B374" s="18" t="s">
        <v>1944</v>
      </c>
      <c r="C374" s="25" t="s">
        <v>3846</v>
      </c>
      <c r="D374" s="20" t="s">
        <v>3</v>
      </c>
      <c r="E374" s="22" t="s">
        <v>3</v>
      </c>
      <c r="F374" s="6"/>
      <c r="G374" s="5" t="s">
        <v>3</v>
      </c>
      <c r="H374" s="28"/>
      <c r="I374" s="4"/>
      <c r="J374" s="60"/>
      <c r="K374" s="4"/>
      <c r="L374" s="2"/>
      <c r="M374" s="5" t="s">
        <v>3</v>
      </c>
      <c r="N374" s="5" t="s">
        <v>3</v>
      </c>
      <c r="O374" s="5" t="s">
        <v>3</v>
      </c>
      <c r="P374" s="16" t="s">
        <v>3</v>
      </c>
    </row>
    <row r="375" spans="2:16" x14ac:dyDescent="0.25">
      <c r="B375" s="7" t="s">
        <v>2713</v>
      </c>
      <c r="C375" s="1" t="s">
        <v>2713</v>
      </c>
      <c r="D375" s="8" t="s">
        <v>2713</v>
      </c>
      <c r="E375" s="1" t="s">
        <v>2713</v>
      </c>
      <c r="F375" s="1" t="s">
        <v>2713</v>
      </c>
      <c r="G375" s="1" t="s">
        <v>2713</v>
      </c>
      <c r="H375" s="1" t="s">
        <v>2713</v>
      </c>
      <c r="I375" s="1" t="s">
        <v>2713</v>
      </c>
      <c r="J375" s="1" t="s">
        <v>2713</v>
      </c>
      <c r="K375" s="1" t="s">
        <v>2713</v>
      </c>
      <c r="L375" s="1" t="s">
        <v>2713</v>
      </c>
      <c r="M375" s="1" t="s">
        <v>2713</v>
      </c>
      <c r="N375" s="1" t="s">
        <v>2713</v>
      </c>
      <c r="O375" s="1" t="s">
        <v>2713</v>
      </c>
      <c r="P375" s="1" t="s">
        <v>2713</v>
      </c>
    </row>
    <row r="376" spans="2:16" ht="41.4" x14ac:dyDescent="0.25">
      <c r="B376" s="21" t="s">
        <v>3273</v>
      </c>
      <c r="C376" s="19" t="s">
        <v>3030</v>
      </c>
      <c r="D376" s="17"/>
      <c r="E376" s="2"/>
      <c r="F376" s="2"/>
      <c r="G376" s="2"/>
      <c r="H376" s="2"/>
      <c r="I376" s="3">
        <f>SUM('GMIC_2020-Annu_SCDPT3'!SCDPT3_86BEGIN_7:'GMIC_2020-Annu_SCDPT3'!SCDPT3_86ENDIN_7)</f>
        <v>0</v>
      </c>
      <c r="J376" s="2"/>
      <c r="K376" s="3">
        <f>SUM('GMIC_2020-Annu_SCDPT3'!SCDPT3_86BEGIN_9:'GMIC_2020-Annu_SCDPT3'!SCDPT3_86ENDIN_9)</f>
        <v>0</v>
      </c>
      <c r="L376" s="2"/>
      <c r="M376" s="2"/>
      <c r="N376" s="2"/>
      <c r="O376" s="2"/>
      <c r="P376" s="2"/>
    </row>
    <row r="377" spans="2:16" x14ac:dyDescent="0.25">
      <c r="B377" s="7" t="s">
        <v>2713</v>
      </c>
      <c r="C377" s="1" t="s">
        <v>2713</v>
      </c>
      <c r="D377" s="8" t="s">
        <v>2713</v>
      </c>
      <c r="E377" s="1" t="s">
        <v>2713</v>
      </c>
      <c r="F377" s="1" t="s">
        <v>2713</v>
      </c>
      <c r="G377" s="1" t="s">
        <v>2713</v>
      </c>
      <c r="H377" s="1" t="s">
        <v>2713</v>
      </c>
      <c r="I377" s="1" t="s">
        <v>2713</v>
      </c>
      <c r="J377" s="1" t="s">
        <v>2713</v>
      </c>
      <c r="K377" s="1" t="s">
        <v>2713</v>
      </c>
      <c r="L377" s="1" t="s">
        <v>2713</v>
      </c>
      <c r="M377" s="1" t="s">
        <v>2713</v>
      </c>
      <c r="N377" s="1" t="s">
        <v>2713</v>
      </c>
      <c r="O377" s="1" t="s">
        <v>2713</v>
      </c>
      <c r="P377" s="1" t="s">
        <v>2713</v>
      </c>
    </row>
    <row r="378" spans="2:16" x14ac:dyDescent="0.25">
      <c r="B378" s="18" t="s">
        <v>1112</v>
      </c>
      <c r="C378" s="25" t="s">
        <v>3846</v>
      </c>
      <c r="D378" s="20" t="s">
        <v>3</v>
      </c>
      <c r="E378" s="22" t="s">
        <v>3</v>
      </c>
      <c r="F378" s="6"/>
      <c r="G378" s="5" t="s">
        <v>3</v>
      </c>
      <c r="H378" s="28"/>
      <c r="I378" s="4"/>
      <c r="J378" s="60"/>
      <c r="K378" s="4"/>
      <c r="L378" s="2"/>
      <c r="M378" s="5" t="s">
        <v>3</v>
      </c>
      <c r="N378" s="5" t="s">
        <v>3</v>
      </c>
      <c r="O378" s="5" t="s">
        <v>3</v>
      </c>
      <c r="P378" s="16" t="s">
        <v>3</v>
      </c>
    </row>
    <row r="379" spans="2:16" x14ac:dyDescent="0.25">
      <c r="B379" s="7" t="s">
        <v>2713</v>
      </c>
      <c r="C379" s="1" t="s">
        <v>2713</v>
      </c>
      <c r="D379" s="8" t="s">
        <v>2713</v>
      </c>
      <c r="E379" s="1" t="s">
        <v>2713</v>
      </c>
      <c r="F379" s="1" t="s">
        <v>2713</v>
      </c>
      <c r="G379" s="1" t="s">
        <v>2713</v>
      </c>
      <c r="H379" s="1" t="s">
        <v>2713</v>
      </c>
      <c r="I379" s="1" t="s">
        <v>2713</v>
      </c>
      <c r="J379" s="1" t="s">
        <v>2713</v>
      </c>
      <c r="K379" s="1" t="s">
        <v>2713</v>
      </c>
      <c r="L379" s="1" t="s">
        <v>2713</v>
      </c>
      <c r="M379" s="1" t="s">
        <v>2713</v>
      </c>
      <c r="N379" s="1" t="s">
        <v>2713</v>
      </c>
      <c r="O379" s="1" t="s">
        <v>2713</v>
      </c>
      <c r="P379" s="1" t="s">
        <v>2713</v>
      </c>
    </row>
    <row r="380" spans="2:16" ht="55.2" x14ac:dyDescent="0.25">
      <c r="B380" s="21" t="s">
        <v>2681</v>
      </c>
      <c r="C380" s="19" t="s">
        <v>1113</v>
      </c>
      <c r="D380" s="17"/>
      <c r="E380" s="2"/>
      <c r="F380" s="2"/>
      <c r="G380" s="2"/>
      <c r="H380" s="2"/>
      <c r="I380" s="3">
        <f>SUM('GMIC_2020-Annu_SCDPT3'!SCDPT3_87BEGIN_7:'GMIC_2020-Annu_SCDPT3'!SCDPT3_87ENDIN_7)</f>
        <v>0</v>
      </c>
      <c r="J380" s="2"/>
      <c r="K380" s="3">
        <f>SUM('GMIC_2020-Annu_SCDPT3'!SCDPT3_87BEGIN_9:'GMIC_2020-Annu_SCDPT3'!SCDPT3_87ENDIN_9)</f>
        <v>0</v>
      </c>
      <c r="L380" s="2"/>
      <c r="M380" s="2"/>
      <c r="N380" s="2"/>
      <c r="O380" s="2"/>
      <c r="P380" s="2"/>
    </row>
    <row r="381" spans="2:16" ht="27.6" x14ac:dyDescent="0.25">
      <c r="B381" s="21" t="s">
        <v>3274</v>
      </c>
      <c r="C381" s="19" t="s">
        <v>2185</v>
      </c>
      <c r="D381" s="17"/>
      <c r="E381" s="2"/>
      <c r="F381" s="2"/>
      <c r="G381" s="2"/>
      <c r="H381" s="2"/>
      <c r="I381" s="3">
        <f>'GMIC_2020-Annu_SCDPT3'!SCDPT3_8499999_7+'GMIC_2020-Annu_SCDPT3'!SCDPT3_8599999_7+'GMIC_2020-Annu_SCDPT3'!SCDPT3_8699999_7+'GMIC_2020-Annu_SCDPT3'!SCDPT3_8799999_7</f>
        <v>0</v>
      </c>
      <c r="J381" s="2"/>
      <c r="K381" s="3">
        <f>'GMIC_2020-Annu_SCDPT3'!SCDPT3_8499999_9+'GMIC_2020-Annu_SCDPT3'!SCDPT3_8599999_9+'GMIC_2020-Annu_SCDPT3'!SCDPT3_8699999_9+'GMIC_2020-Annu_SCDPT3'!SCDPT3_8799999_9</f>
        <v>0</v>
      </c>
      <c r="L381" s="2"/>
      <c r="M381" s="2"/>
      <c r="N381" s="2"/>
      <c r="O381" s="2"/>
      <c r="P381" s="2"/>
    </row>
    <row r="382" spans="2:16" ht="27.6" x14ac:dyDescent="0.25">
      <c r="B382" s="21" t="s">
        <v>4406</v>
      </c>
      <c r="C382" s="19" t="s">
        <v>4407</v>
      </c>
      <c r="D382" s="17"/>
      <c r="E382" s="2"/>
      <c r="F382" s="2"/>
      <c r="G382" s="2"/>
      <c r="H382" s="2"/>
      <c r="I382" s="30"/>
      <c r="J382" s="2"/>
      <c r="K382" s="30"/>
      <c r="L382" s="2"/>
      <c r="M382" s="2"/>
      <c r="N382" s="2"/>
      <c r="O382" s="2"/>
      <c r="P382" s="2"/>
    </row>
    <row r="383" spans="2:16" x14ac:dyDescent="0.25">
      <c r="B383" s="21" t="s">
        <v>1114</v>
      </c>
      <c r="C383" s="19" t="s">
        <v>3799</v>
      </c>
      <c r="D383" s="17"/>
      <c r="E383" s="2"/>
      <c r="F383" s="2"/>
      <c r="G383" s="2"/>
      <c r="H383" s="2"/>
      <c r="I383" s="3">
        <f>'GMIC_2020-Annu_SCDPT3'!SCDPT3_8999997_7+'GMIC_2020-Annu_SCDPT3'!SCDPT3_8999998_7</f>
        <v>0</v>
      </c>
      <c r="J383" s="2"/>
      <c r="K383" s="3">
        <f>'GMIC_2020-Annu_SCDPT3'!SCDPT3_8999997_9+'GMIC_2020-Annu_SCDPT3'!SCDPT3_8999998_9</f>
        <v>0</v>
      </c>
      <c r="L383" s="2"/>
      <c r="M383" s="2"/>
      <c r="N383" s="2"/>
      <c r="O383" s="2"/>
      <c r="P383" s="2"/>
    </row>
    <row r="384" spans="2:16" x14ac:dyDescent="0.25">
      <c r="B384" s="7" t="s">
        <v>2713</v>
      </c>
      <c r="C384" s="1" t="s">
        <v>2713</v>
      </c>
      <c r="D384" s="8" t="s">
        <v>2713</v>
      </c>
      <c r="E384" s="1" t="s">
        <v>2713</v>
      </c>
      <c r="F384" s="1" t="s">
        <v>2713</v>
      </c>
      <c r="G384" s="1" t="s">
        <v>2713</v>
      </c>
      <c r="H384" s="1" t="s">
        <v>2713</v>
      </c>
      <c r="I384" s="1" t="s">
        <v>2713</v>
      </c>
      <c r="J384" s="1" t="s">
        <v>2713</v>
      </c>
      <c r="K384" s="1" t="s">
        <v>2713</v>
      </c>
      <c r="L384" s="1" t="s">
        <v>2713</v>
      </c>
      <c r="M384" s="1" t="s">
        <v>2713</v>
      </c>
      <c r="N384" s="1" t="s">
        <v>2713</v>
      </c>
      <c r="O384" s="1" t="s">
        <v>2713</v>
      </c>
      <c r="P384" s="1" t="s">
        <v>2713</v>
      </c>
    </row>
    <row r="385" spans="2:16" x14ac:dyDescent="0.25">
      <c r="B385" s="18" t="s">
        <v>182</v>
      </c>
      <c r="C385" s="25" t="s">
        <v>3846</v>
      </c>
      <c r="D385" s="20" t="s">
        <v>3</v>
      </c>
      <c r="E385" s="22" t="s">
        <v>3</v>
      </c>
      <c r="F385" s="6"/>
      <c r="G385" s="5" t="s">
        <v>3</v>
      </c>
      <c r="H385" s="28"/>
      <c r="I385" s="4"/>
      <c r="J385" s="2"/>
      <c r="K385" s="4"/>
      <c r="L385" s="2"/>
      <c r="M385" s="5" t="s">
        <v>3</v>
      </c>
      <c r="N385" s="5" t="s">
        <v>3</v>
      </c>
      <c r="O385" s="5" t="s">
        <v>3</v>
      </c>
      <c r="P385" s="16" t="s">
        <v>3</v>
      </c>
    </row>
    <row r="386" spans="2:16" x14ac:dyDescent="0.25">
      <c r="B386" s="7" t="s">
        <v>2713</v>
      </c>
      <c r="C386" s="1" t="s">
        <v>2713</v>
      </c>
      <c r="D386" s="8" t="s">
        <v>2713</v>
      </c>
      <c r="E386" s="1" t="s">
        <v>2713</v>
      </c>
      <c r="F386" s="1" t="s">
        <v>2713</v>
      </c>
      <c r="G386" s="1" t="s">
        <v>2713</v>
      </c>
      <c r="H386" s="1" t="s">
        <v>2713</v>
      </c>
      <c r="I386" s="1" t="s">
        <v>2713</v>
      </c>
      <c r="J386" s="1" t="s">
        <v>2713</v>
      </c>
      <c r="K386" s="1" t="s">
        <v>2713</v>
      </c>
      <c r="L386" s="1" t="s">
        <v>2713</v>
      </c>
      <c r="M386" s="1" t="s">
        <v>2713</v>
      </c>
      <c r="N386" s="1" t="s">
        <v>2713</v>
      </c>
      <c r="O386" s="1" t="s">
        <v>2713</v>
      </c>
      <c r="P386" s="1" t="s">
        <v>2713</v>
      </c>
    </row>
    <row r="387" spans="2:16" ht="41.4" x14ac:dyDescent="0.25">
      <c r="B387" s="21" t="s">
        <v>1908</v>
      </c>
      <c r="C387" s="19" t="s">
        <v>523</v>
      </c>
      <c r="D387" s="17"/>
      <c r="E387" s="2"/>
      <c r="F387" s="2"/>
      <c r="G387" s="2"/>
      <c r="H387" s="2"/>
      <c r="I387" s="3">
        <f>SUM('GMIC_2020-Annu_SCDPT3'!SCDPT3_90BEGIN_7:'GMIC_2020-Annu_SCDPT3'!SCDPT3_90ENDIN_7)</f>
        <v>0</v>
      </c>
      <c r="J387" s="2"/>
      <c r="K387" s="3">
        <f>SUM('GMIC_2020-Annu_SCDPT3'!SCDPT3_90BEGIN_9:'GMIC_2020-Annu_SCDPT3'!SCDPT3_90ENDIN_9)</f>
        <v>0</v>
      </c>
      <c r="L387" s="2"/>
      <c r="M387" s="2"/>
      <c r="N387" s="2"/>
      <c r="O387" s="2"/>
      <c r="P387" s="2"/>
    </row>
    <row r="388" spans="2:16" x14ac:dyDescent="0.25">
      <c r="B388" s="7" t="s">
        <v>2713</v>
      </c>
      <c r="C388" s="1" t="s">
        <v>2713</v>
      </c>
      <c r="D388" s="8" t="s">
        <v>2713</v>
      </c>
      <c r="E388" s="1" t="s">
        <v>2713</v>
      </c>
      <c r="F388" s="1" t="s">
        <v>2713</v>
      </c>
      <c r="G388" s="1" t="s">
        <v>2713</v>
      </c>
      <c r="H388" s="1" t="s">
        <v>2713</v>
      </c>
      <c r="I388" s="1" t="s">
        <v>2713</v>
      </c>
      <c r="J388" s="1" t="s">
        <v>2713</v>
      </c>
      <c r="K388" s="1" t="s">
        <v>2713</v>
      </c>
      <c r="L388" s="1" t="s">
        <v>2713</v>
      </c>
      <c r="M388" s="1" t="s">
        <v>2713</v>
      </c>
      <c r="N388" s="1" t="s">
        <v>2713</v>
      </c>
      <c r="O388" s="1" t="s">
        <v>2713</v>
      </c>
      <c r="P388" s="1" t="s">
        <v>2713</v>
      </c>
    </row>
    <row r="389" spans="2:16" x14ac:dyDescent="0.25">
      <c r="B389" s="18" t="s">
        <v>4115</v>
      </c>
      <c r="C389" s="25" t="s">
        <v>3846</v>
      </c>
      <c r="D389" s="20" t="s">
        <v>3</v>
      </c>
      <c r="E389" s="22" t="s">
        <v>3</v>
      </c>
      <c r="F389" s="6"/>
      <c r="G389" s="5" t="s">
        <v>3</v>
      </c>
      <c r="H389" s="28"/>
      <c r="I389" s="4"/>
      <c r="J389" s="2"/>
      <c r="K389" s="4"/>
      <c r="L389" s="2"/>
      <c r="M389" s="5" t="s">
        <v>3</v>
      </c>
      <c r="N389" s="5" t="s">
        <v>3</v>
      </c>
      <c r="O389" s="5" t="s">
        <v>3</v>
      </c>
      <c r="P389" s="16" t="s">
        <v>3</v>
      </c>
    </row>
    <row r="390" spans="2:16" x14ac:dyDescent="0.25">
      <c r="B390" s="7" t="s">
        <v>2713</v>
      </c>
      <c r="C390" s="1" t="s">
        <v>2713</v>
      </c>
      <c r="D390" s="8" t="s">
        <v>2713</v>
      </c>
      <c r="E390" s="1" t="s">
        <v>2713</v>
      </c>
      <c r="F390" s="1" t="s">
        <v>2713</v>
      </c>
      <c r="G390" s="1" t="s">
        <v>2713</v>
      </c>
      <c r="H390" s="1" t="s">
        <v>2713</v>
      </c>
      <c r="I390" s="1" t="s">
        <v>2713</v>
      </c>
      <c r="J390" s="1" t="s">
        <v>2713</v>
      </c>
      <c r="K390" s="1" t="s">
        <v>2713</v>
      </c>
      <c r="L390" s="1" t="s">
        <v>2713</v>
      </c>
      <c r="M390" s="1" t="s">
        <v>2713</v>
      </c>
      <c r="N390" s="1" t="s">
        <v>2713</v>
      </c>
      <c r="O390" s="1" t="s">
        <v>2713</v>
      </c>
      <c r="P390" s="1" t="s">
        <v>2713</v>
      </c>
    </row>
    <row r="391" spans="2:16" ht="41.4" x14ac:dyDescent="0.25">
      <c r="B391" s="21" t="s">
        <v>1099</v>
      </c>
      <c r="C391" s="19" t="s">
        <v>3031</v>
      </c>
      <c r="D391" s="17"/>
      <c r="E391" s="2"/>
      <c r="F391" s="2"/>
      <c r="G391" s="2"/>
      <c r="H391" s="2"/>
      <c r="I391" s="3">
        <f>SUM('GMIC_2020-Annu_SCDPT3'!SCDPT3_91BEGIN_7:'GMIC_2020-Annu_SCDPT3'!SCDPT3_91ENDIN_7)</f>
        <v>0</v>
      </c>
      <c r="J391" s="2"/>
      <c r="K391" s="3">
        <f>SUM('GMIC_2020-Annu_SCDPT3'!SCDPT3_91BEGIN_9:'GMIC_2020-Annu_SCDPT3'!SCDPT3_91ENDIN_9)</f>
        <v>0</v>
      </c>
      <c r="L391" s="2"/>
      <c r="M391" s="2"/>
      <c r="N391" s="2"/>
      <c r="O391" s="2"/>
      <c r="P391" s="2"/>
    </row>
    <row r="392" spans="2:16" x14ac:dyDescent="0.25">
      <c r="B392" s="7" t="s">
        <v>2713</v>
      </c>
      <c r="C392" s="1" t="s">
        <v>2713</v>
      </c>
      <c r="D392" s="8" t="s">
        <v>2713</v>
      </c>
      <c r="E392" s="1" t="s">
        <v>2713</v>
      </c>
      <c r="F392" s="1" t="s">
        <v>2713</v>
      </c>
      <c r="G392" s="1" t="s">
        <v>2713</v>
      </c>
      <c r="H392" s="1" t="s">
        <v>2713</v>
      </c>
      <c r="I392" s="1" t="s">
        <v>2713</v>
      </c>
      <c r="J392" s="1" t="s">
        <v>2713</v>
      </c>
      <c r="K392" s="1" t="s">
        <v>2713</v>
      </c>
      <c r="L392" s="1" t="s">
        <v>2713</v>
      </c>
      <c r="M392" s="1" t="s">
        <v>2713</v>
      </c>
      <c r="N392" s="1" t="s">
        <v>2713</v>
      </c>
      <c r="O392" s="1" t="s">
        <v>2713</v>
      </c>
      <c r="P392" s="1" t="s">
        <v>2713</v>
      </c>
    </row>
    <row r="393" spans="2:16" x14ac:dyDescent="0.25">
      <c r="B393" s="18" t="s">
        <v>3259</v>
      </c>
      <c r="C393" s="25" t="s">
        <v>3846</v>
      </c>
      <c r="D393" s="20" t="s">
        <v>3</v>
      </c>
      <c r="E393" s="22" t="s">
        <v>3</v>
      </c>
      <c r="F393" s="6"/>
      <c r="G393" s="5" t="s">
        <v>3</v>
      </c>
      <c r="H393" s="28"/>
      <c r="I393" s="4"/>
      <c r="J393" s="2"/>
      <c r="K393" s="4"/>
      <c r="L393" s="2"/>
      <c r="M393" s="5" t="s">
        <v>3</v>
      </c>
      <c r="N393" s="5" t="s">
        <v>3</v>
      </c>
      <c r="O393" s="5" t="s">
        <v>3</v>
      </c>
      <c r="P393" s="16" t="s">
        <v>3</v>
      </c>
    </row>
    <row r="394" spans="2:16" x14ac:dyDescent="0.25">
      <c r="B394" s="7" t="s">
        <v>2713</v>
      </c>
      <c r="C394" s="1" t="s">
        <v>2713</v>
      </c>
      <c r="D394" s="8" t="s">
        <v>2713</v>
      </c>
      <c r="E394" s="1" t="s">
        <v>2713</v>
      </c>
      <c r="F394" s="1" t="s">
        <v>2713</v>
      </c>
      <c r="G394" s="1" t="s">
        <v>2713</v>
      </c>
      <c r="H394" s="1" t="s">
        <v>2713</v>
      </c>
      <c r="I394" s="1" t="s">
        <v>2713</v>
      </c>
      <c r="J394" s="1" t="s">
        <v>2713</v>
      </c>
      <c r="K394" s="1" t="s">
        <v>2713</v>
      </c>
      <c r="L394" s="1" t="s">
        <v>2713</v>
      </c>
      <c r="M394" s="1" t="s">
        <v>2713</v>
      </c>
      <c r="N394" s="1" t="s">
        <v>2713</v>
      </c>
      <c r="O394" s="1" t="s">
        <v>2713</v>
      </c>
      <c r="P394" s="1" t="s">
        <v>2713</v>
      </c>
    </row>
    <row r="395" spans="2:16" ht="41.4" x14ac:dyDescent="0.25">
      <c r="B395" s="21" t="s">
        <v>183</v>
      </c>
      <c r="C395" s="19" t="s">
        <v>3032</v>
      </c>
      <c r="D395" s="17"/>
      <c r="E395" s="2"/>
      <c r="F395" s="2"/>
      <c r="G395" s="2"/>
      <c r="H395" s="2"/>
      <c r="I395" s="3">
        <f>SUM('GMIC_2020-Annu_SCDPT3'!SCDPT3_92BEGIN_7:'GMIC_2020-Annu_SCDPT3'!SCDPT3_92ENDIN_7)</f>
        <v>0</v>
      </c>
      <c r="J395" s="2"/>
      <c r="K395" s="3">
        <f>SUM('GMIC_2020-Annu_SCDPT3'!SCDPT3_92BEGIN_9:'GMIC_2020-Annu_SCDPT3'!SCDPT3_92ENDIN_9)</f>
        <v>0</v>
      </c>
      <c r="L395" s="2"/>
      <c r="M395" s="2"/>
      <c r="N395" s="2"/>
      <c r="O395" s="2"/>
      <c r="P395" s="2"/>
    </row>
    <row r="396" spans="2:16" x14ac:dyDescent="0.25">
      <c r="B396" s="7" t="s">
        <v>2713</v>
      </c>
      <c r="C396" s="1" t="s">
        <v>2713</v>
      </c>
      <c r="D396" s="8" t="s">
        <v>2713</v>
      </c>
      <c r="E396" s="1" t="s">
        <v>2713</v>
      </c>
      <c r="F396" s="1" t="s">
        <v>2713</v>
      </c>
      <c r="G396" s="1" t="s">
        <v>2713</v>
      </c>
      <c r="H396" s="1" t="s">
        <v>2713</v>
      </c>
      <c r="I396" s="1" t="s">
        <v>2713</v>
      </c>
      <c r="J396" s="1" t="s">
        <v>2713</v>
      </c>
      <c r="K396" s="1" t="s">
        <v>2713</v>
      </c>
      <c r="L396" s="1" t="s">
        <v>2713</v>
      </c>
      <c r="M396" s="1" t="s">
        <v>2713</v>
      </c>
      <c r="N396" s="1" t="s">
        <v>2713</v>
      </c>
      <c r="O396" s="1" t="s">
        <v>2713</v>
      </c>
      <c r="P396" s="1" t="s">
        <v>2713</v>
      </c>
    </row>
    <row r="397" spans="2:16" x14ac:dyDescent="0.25">
      <c r="B397" s="18" t="s">
        <v>2394</v>
      </c>
      <c r="C397" s="25" t="s">
        <v>3846</v>
      </c>
      <c r="D397" s="20" t="s">
        <v>3</v>
      </c>
      <c r="E397" s="22" t="s">
        <v>3</v>
      </c>
      <c r="F397" s="6"/>
      <c r="G397" s="5" t="s">
        <v>3</v>
      </c>
      <c r="H397" s="28"/>
      <c r="I397" s="4"/>
      <c r="J397" s="2"/>
      <c r="K397" s="4"/>
      <c r="L397" s="2"/>
      <c r="M397" s="5" t="s">
        <v>3</v>
      </c>
      <c r="N397" s="5" t="s">
        <v>3</v>
      </c>
      <c r="O397" s="5" t="s">
        <v>3</v>
      </c>
      <c r="P397" s="16" t="s">
        <v>3</v>
      </c>
    </row>
    <row r="398" spans="2:16" x14ac:dyDescent="0.25">
      <c r="B398" s="7" t="s">
        <v>2713</v>
      </c>
      <c r="C398" s="1" t="s">
        <v>2713</v>
      </c>
      <c r="D398" s="8" t="s">
        <v>2713</v>
      </c>
      <c r="E398" s="1" t="s">
        <v>2713</v>
      </c>
      <c r="F398" s="1" t="s">
        <v>2713</v>
      </c>
      <c r="G398" s="1" t="s">
        <v>2713</v>
      </c>
      <c r="H398" s="1" t="s">
        <v>2713</v>
      </c>
      <c r="I398" s="1" t="s">
        <v>2713</v>
      </c>
      <c r="J398" s="1" t="s">
        <v>2713</v>
      </c>
      <c r="K398" s="1" t="s">
        <v>2713</v>
      </c>
      <c r="L398" s="1" t="s">
        <v>2713</v>
      </c>
      <c r="M398" s="1" t="s">
        <v>2713</v>
      </c>
      <c r="N398" s="1" t="s">
        <v>2713</v>
      </c>
      <c r="O398" s="1" t="s">
        <v>2713</v>
      </c>
      <c r="P398" s="1" t="s">
        <v>2713</v>
      </c>
    </row>
    <row r="399" spans="2:16" ht="41.4" x14ac:dyDescent="0.25">
      <c r="B399" s="21" t="s">
        <v>3753</v>
      </c>
      <c r="C399" s="19" t="s">
        <v>3498</v>
      </c>
      <c r="D399" s="17"/>
      <c r="E399" s="2"/>
      <c r="F399" s="2"/>
      <c r="G399" s="2"/>
      <c r="H399" s="2"/>
      <c r="I399" s="3">
        <f>SUM('GMIC_2020-Annu_SCDPT3'!SCDPT3_93BEGIN_7:'GMIC_2020-Annu_SCDPT3'!SCDPT3_93ENDIN_7)</f>
        <v>0</v>
      </c>
      <c r="J399" s="2"/>
      <c r="K399" s="3">
        <f>SUM('GMIC_2020-Annu_SCDPT3'!SCDPT3_93BEGIN_9:'GMIC_2020-Annu_SCDPT3'!SCDPT3_93ENDIN_9)</f>
        <v>0</v>
      </c>
      <c r="L399" s="2"/>
      <c r="M399" s="2"/>
      <c r="N399" s="2"/>
      <c r="O399" s="2"/>
      <c r="P399" s="2"/>
    </row>
    <row r="400" spans="2:16" x14ac:dyDescent="0.25">
      <c r="B400" s="7" t="s">
        <v>2713</v>
      </c>
      <c r="C400" s="1" t="s">
        <v>2713</v>
      </c>
      <c r="D400" s="8" t="s">
        <v>2713</v>
      </c>
      <c r="E400" s="1" t="s">
        <v>2713</v>
      </c>
      <c r="F400" s="1" t="s">
        <v>2713</v>
      </c>
      <c r="G400" s="1" t="s">
        <v>2713</v>
      </c>
      <c r="H400" s="1" t="s">
        <v>2713</v>
      </c>
      <c r="I400" s="1" t="s">
        <v>2713</v>
      </c>
      <c r="J400" s="1" t="s">
        <v>2713</v>
      </c>
      <c r="K400" s="1" t="s">
        <v>2713</v>
      </c>
      <c r="L400" s="1" t="s">
        <v>2713</v>
      </c>
      <c r="M400" s="1" t="s">
        <v>2713</v>
      </c>
      <c r="N400" s="1" t="s">
        <v>2713</v>
      </c>
      <c r="O400" s="1" t="s">
        <v>2713</v>
      </c>
      <c r="P400" s="1" t="s">
        <v>2713</v>
      </c>
    </row>
    <row r="401" spans="2:16" x14ac:dyDescent="0.25">
      <c r="B401" s="18" t="s">
        <v>1548</v>
      </c>
      <c r="C401" s="25" t="s">
        <v>3846</v>
      </c>
      <c r="D401" s="20" t="s">
        <v>3</v>
      </c>
      <c r="E401" s="22" t="s">
        <v>3</v>
      </c>
      <c r="F401" s="6"/>
      <c r="G401" s="5" t="s">
        <v>3</v>
      </c>
      <c r="H401" s="28"/>
      <c r="I401" s="4"/>
      <c r="J401" s="2"/>
      <c r="K401" s="4"/>
      <c r="L401" s="2"/>
      <c r="M401" s="5" t="s">
        <v>3</v>
      </c>
      <c r="N401" s="5" t="s">
        <v>3</v>
      </c>
      <c r="O401" s="5" t="s">
        <v>3</v>
      </c>
      <c r="P401" s="16" t="s">
        <v>3</v>
      </c>
    </row>
    <row r="402" spans="2:16" x14ac:dyDescent="0.25">
      <c r="B402" s="7" t="s">
        <v>2713</v>
      </c>
      <c r="C402" s="1" t="s">
        <v>2713</v>
      </c>
      <c r="D402" s="8" t="s">
        <v>2713</v>
      </c>
      <c r="E402" s="1" t="s">
        <v>2713</v>
      </c>
      <c r="F402" s="1" t="s">
        <v>2713</v>
      </c>
      <c r="G402" s="1" t="s">
        <v>2713</v>
      </c>
      <c r="H402" s="1" t="s">
        <v>2713</v>
      </c>
      <c r="I402" s="1" t="s">
        <v>2713</v>
      </c>
      <c r="J402" s="1" t="s">
        <v>2713</v>
      </c>
      <c r="K402" s="1" t="s">
        <v>2713</v>
      </c>
      <c r="L402" s="1" t="s">
        <v>2713</v>
      </c>
      <c r="M402" s="1" t="s">
        <v>2713</v>
      </c>
      <c r="N402" s="1" t="s">
        <v>2713</v>
      </c>
      <c r="O402" s="1" t="s">
        <v>2713</v>
      </c>
      <c r="P402" s="1" t="s">
        <v>2713</v>
      </c>
    </row>
    <row r="403" spans="2:16" ht="27.6" x14ac:dyDescent="0.25">
      <c r="B403" s="21" t="s">
        <v>3260</v>
      </c>
      <c r="C403" s="19" t="s">
        <v>3033</v>
      </c>
      <c r="D403" s="17"/>
      <c r="E403" s="2"/>
      <c r="F403" s="2"/>
      <c r="G403" s="2"/>
      <c r="H403" s="2"/>
      <c r="I403" s="3">
        <f>SUM('GMIC_2020-Annu_SCDPT3'!SCDPT3_94BEGIN_7:'GMIC_2020-Annu_SCDPT3'!SCDPT3_94ENDIN_7)</f>
        <v>0</v>
      </c>
      <c r="J403" s="2"/>
      <c r="K403" s="3">
        <f>SUM('GMIC_2020-Annu_SCDPT3'!SCDPT3_94BEGIN_9:'GMIC_2020-Annu_SCDPT3'!SCDPT3_94ENDIN_9)</f>
        <v>0</v>
      </c>
      <c r="L403" s="2"/>
      <c r="M403" s="2"/>
      <c r="N403" s="2"/>
      <c r="O403" s="2"/>
      <c r="P403" s="2"/>
    </row>
    <row r="404" spans="2:16" x14ac:dyDescent="0.25">
      <c r="B404" s="7" t="s">
        <v>2713</v>
      </c>
      <c r="C404" s="1" t="s">
        <v>2713</v>
      </c>
      <c r="D404" s="8" t="s">
        <v>2713</v>
      </c>
      <c r="E404" s="1" t="s">
        <v>2713</v>
      </c>
      <c r="F404" s="1" t="s">
        <v>2713</v>
      </c>
      <c r="G404" s="1" t="s">
        <v>2713</v>
      </c>
      <c r="H404" s="1" t="s">
        <v>2713</v>
      </c>
      <c r="I404" s="1" t="s">
        <v>2713</v>
      </c>
      <c r="J404" s="1" t="s">
        <v>2713</v>
      </c>
      <c r="K404" s="1" t="s">
        <v>2713</v>
      </c>
      <c r="L404" s="1" t="s">
        <v>2713</v>
      </c>
      <c r="M404" s="1" t="s">
        <v>2713</v>
      </c>
      <c r="N404" s="1" t="s">
        <v>2713</v>
      </c>
      <c r="O404" s="1" t="s">
        <v>2713</v>
      </c>
      <c r="P404" s="1" t="s">
        <v>2713</v>
      </c>
    </row>
    <row r="405" spans="2:16" x14ac:dyDescent="0.25">
      <c r="B405" s="18" t="s">
        <v>1100</v>
      </c>
      <c r="C405" s="25" t="s">
        <v>3846</v>
      </c>
      <c r="D405" s="20" t="s">
        <v>3</v>
      </c>
      <c r="E405" s="22" t="s">
        <v>3</v>
      </c>
      <c r="F405" s="6"/>
      <c r="G405" s="5" t="s">
        <v>3</v>
      </c>
      <c r="H405" s="28"/>
      <c r="I405" s="4"/>
      <c r="J405" s="2"/>
      <c r="K405" s="4"/>
      <c r="L405" s="2"/>
      <c r="M405" s="5" t="s">
        <v>3</v>
      </c>
      <c r="N405" s="5" t="s">
        <v>3</v>
      </c>
      <c r="O405" s="5" t="s">
        <v>3</v>
      </c>
      <c r="P405" s="16" t="s">
        <v>3</v>
      </c>
    </row>
    <row r="406" spans="2:16" x14ac:dyDescent="0.25">
      <c r="B406" s="7" t="s">
        <v>2713</v>
      </c>
      <c r="C406" s="1" t="s">
        <v>2713</v>
      </c>
      <c r="D406" s="8" t="s">
        <v>2713</v>
      </c>
      <c r="E406" s="1" t="s">
        <v>2713</v>
      </c>
      <c r="F406" s="1" t="s">
        <v>2713</v>
      </c>
      <c r="G406" s="1" t="s">
        <v>2713</v>
      </c>
      <c r="H406" s="1" t="s">
        <v>2713</v>
      </c>
      <c r="I406" s="1" t="s">
        <v>2713</v>
      </c>
      <c r="J406" s="1" t="s">
        <v>2713</v>
      </c>
      <c r="K406" s="1" t="s">
        <v>2713</v>
      </c>
      <c r="L406" s="1" t="s">
        <v>2713</v>
      </c>
      <c r="M406" s="1" t="s">
        <v>2713</v>
      </c>
      <c r="N406" s="1" t="s">
        <v>2713</v>
      </c>
      <c r="O406" s="1" t="s">
        <v>2713</v>
      </c>
      <c r="P406" s="1" t="s">
        <v>2713</v>
      </c>
    </row>
    <row r="407" spans="2:16" ht="27.6" x14ac:dyDescent="0.25">
      <c r="B407" s="21" t="s">
        <v>2374</v>
      </c>
      <c r="C407" s="19" t="s">
        <v>3475</v>
      </c>
      <c r="D407" s="17"/>
      <c r="E407" s="2"/>
      <c r="F407" s="2"/>
      <c r="G407" s="2"/>
      <c r="H407" s="2"/>
      <c r="I407" s="3">
        <f>SUM('GMIC_2020-Annu_SCDPT3'!SCDPT3_95BEGIN_7:'GMIC_2020-Annu_SCDPT3'!SCDPT3_95ENDIN_7)</f>
        <v>0</v>
      </c>
      <c r="J407" s="2"/>
      <c r="K407" s="3">
        <f>SUM('GMIC_2020-Annu_SCDPT3'!SCDPT3_95BEGIN_9:'GMIC_2020-Annu_SCDPT3'!SCDPT3_95ENDIN_9)</f>
        <v>0</v>
      </c>
      <c r="L407" s="2"/>
      <c r="M407" s="2"/>
      <c r="N407" s="2"/>
      <c r="O407" s="2"/>
      <c r="P407" s="2"/>
    </row>
    <row r="408" spans="2:16" x14ac:dyDescent="0.25">
      <c r="B408" s="7" t="s">
        <v>2713</v>
      </c>
      <c r="C408" s="1" t="s">
        <v>2713</v>
      </c>
      <c r="D408" s="8" t="s">
        <v>2713</v>
      </c>
      <c r="E408" s="1" t="s">
        <v>2713</v>
      </c>
      <c r="F408" s="1" t="s">
        <v>2713</v>
      </c>
      <c r="G408" s="1" t="s">
        <v>2713</v>
      </c>
      <c r="H408" s="1" t="s">
        <v>2713</v>
      </c>
      <c r="I408" s="1" t="s">
        <v>2713</v>
      </c>
      <c r="J408" s="1" t="s">
        <v>2713</v>
      </c>
      <c r="K408" s="1" t="s">
        <v>2713</v>
      </c>
      <c r="L408" s="1" t="s">
        <v>2713</v>
      </c>
      <c r="M408" s="1" t="s">
        <v>2713</v>
      </c>
      <c r="N408" s="1" t="s">
        <v>2713</v>
      </c>
      <c r="O408" s="1" t="s">
        <v>2713</v>
      </c>
      <c r="P408" s="1" t="s">
        <v>2713</v>
      </c>
    </row>
    <row r="409" spans="2:16" x14ac:dyDescent="0.25">
      <c r="B409" s="18" t="s">
        <v>184</v>
      </c>
      <c r="C409" s="25" t="s">
        <v>3846</v>
      </c>
      <c r="D409" s="20" t="s">
        <v>3</v>
      </c>
      <c r="E409" s="22" t="s">
        <v>3</v>
      </c>
      <c r="F409" s="6"/>
      <c r="G409" s="5" t="s">
        <v>3</v>
      </c>
      <c r="H409" s="28"/>
      <c r="I409" s="4"/>
      <c r="J409" s="2"/>
      <c r="K409" s="4"/>
      <c r="L409" s="2"/>
      <c r="M409" s="5" t="s">
        <v>3</v>
      </c>
      <c r="N409" s="5" t="s">
        <v>3</v>
      </c>
      <c r="O409" s="5" t="s">
        <v>3</v>
      </c>
      <c r="P409" s="16" t="s">
        <v>3</v>
      </c>
    </row>
    <row r="410" spans="2:16" x14ac:dyDescent="0.25">
      <c r="B410" s="7" t="s">
        <v>2713</v>
      </c>
      <c r="C410" s="1" t="s">
        <v>2713</v>
      </c>
      <c r="D410" s="8" t="s">
        <v>2713</v>
      </c>
      <c r="E410" s="1" t="s">
        <v>2713</v>
      </c>
      <c r="F410" s="1" t="s">
        <v>2713</v>
      </c>
      <c r="G410" s="1" t="s">
        <v>2713</v>
      </c>
      <c r="H410" s="1" t="s">
        <v>2713</v>
      </c>
      <c r="I410" s="1" t="s">
        <v>2713</v>
      </c>
      <c r="J410" s="1" t="s">
        <v>2713</v>
      </c>
      <c r="K410" s="1" t="s">
        <v>2713</v>
      </c>
      <c r="L410" s="1" t="s">
        <v>2713</v>
      </c>
      <c r="M410" s="1" t="s">
        <v>2713</v>
      </c>
      <c r="N410" s="1" t="s">
        <v>2713</v>
      </c>
      <c r="O410" s="1" t="s">
        <v>2713</v>
      </c>
      <c r="P410" s="1" t="s">
        <v>2713</v>
      </c>
    </row>
    <row r="411" spans="2:16" x14ac:dyDescent="0.25">
      <c r="B411" s="21" t="s">
        <v>1549</v>
      </c>
      <c r="C411" s="19" t="s">
        <v>1909</v>
      </c>
      <c r="D411" s="17"/>
      <c r="E411" s="2"/>
      <c r="F411" s="2"/>
      <c r="G411" s="2"/>
      <c r="H411" s="2"/>
      <c r="I411" s="3">
        <f>SUM('GMIC_2020-Annu_SCDPT3'!SCDPT3_96BEGIN_7:'GMIC_2020-Annu_SCDPT3'!SCDPT3_96ENDIN_7)</f>
        <v>0</v>
      </c>
      <c r="J411" s="2"/>
      <c r="K411" s="3">
        <f>SUM('GMIC_2020-Annu_SCDPT3'!SCDPT3_96BEGIN_9:'GMIC_2020-Annu_SCDPT3'!SCDPT3_96ENDIN_9)</f>
        <v>0</v>
      </c>
      <c r="L411" s="2"/>
      <c r="M411" s="2"/>
      <c r="N411" s="2"/>
      <c r="O411" s="2"/>
      <c r="P411" s="2"/>
    </row>
    <row r="412" spans="2:16" ht="27.6" x14ac:dyDescent="0.25">
      <c r="B412" s="21" t="s">
        <v>3034</v>
      </c>
      <c r="C412" s="19" t="s">
        <v>2395</v>
      </c>
      <c r="D412" s="17"/>
      <c r="E412" s="2"/>
      <c r="F412" s="2"/>
      <c r="G412" s="2"/>
      <c r="H412" s="2"/>
      <c r="I412" s="3">
        <f>'GMIC_2020-Annu_SCDPT3'!SCDPT3_9099999_7+'GMIC_2020-Annu_SCDPT3'!SCDPT3_9199999_7+'GMIC_2020-Annu_SCDPT3'!SCDPT3_9299999_7+'GMIC_2020-Annu_SCDPT3'!SCDPT3_9399999_7+'GMIC_2020-Annu_SCDPT3'!SCDPT3_9499999_7+'GMIC_2020-Annu_SCDPT3'!SCDPT3_9599999_7+'GMIC_2020-Annu_SCDPT3'!SCDPT3_9699999_7</f>
        <v>0</v>
      </c>
      <c r="J412" s="2"/>
      <c r="K412" s="3">
        <f>'GMIC_2020-Annu_SCDPT3'!SCDPT3_9099999_9+'GMIC_2020-Annu_SCDPT3'!SCDPT3_9199999_9+'GMIC_2020-Annu_SCDPT3'!SCDPT3_9299999_9+'GMIC_2020-Annu_SCDPT3'!SCDPT3_9399999_9+'GMIC_2020-Annu_SCDPT3'!SCDPT3_9499999_9+'GMIC_2020-Annu_SCDPT3'!SCDPT3_9599999_9+'GMIC_2020-Annu_SCDPT3'!SCDPT3_9699999_9</f>
        <v>0</v>
      </c>
      <c r="L412" s="2"/>
      <c r="M412" s="2"/>
      <c r="N412" s="2"/>
      <c r="O412" s="2"/>
      <c r="P412" s="2"/>
    </row>
    <row r="413" spans="2:16" ht="27.6" x14ac:dyDescent="0.25">
      <c r="B413" s="21" t="s">
        <v>4158</v>
      </c>
      <c r="C413" s="19" t="s">
        <v>207</v>
      </c>
      <c r="D413" s="17"/>
      <c r="E413" s="2"/>
      <c r="F413" s="2"/>
      <c r="G413" s="2"/>
      <c r="H413" s="2"/>
      <c r="I413" s="30"/>
      <c r="J413" s="2"/>
      <c r="K413" s="30"/>
      <c r="L413" s="2"/>
      <c r="M413" s="2"/>
      <c r="N413" s="2"/>
      <c r="O413" s="2"/>
      <c r="P413" s="2"/>
    </row>
    <row r="414" spans="2:16" x14ac:dyDescent="0.25">
      <c r="B414" s="21" t="s">
        <v>809</v>
      </c>
      <c r="C414" s="19" t="s">
        <v>4159</v>
      </c>
      <c r="D414" s="17"/>
      <c r="E414" s="2"/>
      <c r="F414" s="2"/>
      <c r="G414" s="2"/>
      <c r="H414" s="2"/>
      <c r="I414" s="3">
        <f>'GMIC_2020-Annu_SCDPT3'!SCDPT3_9799997_7+'GMIC_2020-Annu_SCDPT3'!SCDPT3_9799998_7</f>
        <v>0</v>
      </c>
      <c r="J414" s="2"/>
      <c r="K414" s="3">
        <f>'GMIC_2020-Annu_SCDPT3'!SCDPT3_9799997_9+'GMIC_2020-Annu_SCDPT3'!SCDPT3_9799998_9</f>
        <v>0</v>
      </c>
      <c r="L414" s="2"/>
      <c r="M414" s="2"/>
      <c r="N414" s="2"/>
      <c r="O414" s="2"/>
      <c r="P414" s="2"/>
    </row>
    <row r="415" spans="2:16" ht="27.6" x14ac:dyDescent="0.25">
      <c r="B415" s="21" t="s">
        <v>185</v>
      </c>
      <c r="C415" s="19" t="s">
        <v>1115</v>
      </c>
      <c r="D415" s="17"/>
      <c r="E415" s="2"/>
      <c r="F415" s="2"/>
      <c r="G415" s="2"/>
      <c r="H415" s="2"/>
      <c r="I415" s="3">
        <f>'GMIC_2020-Annu_SCDPT3'!SCDPT3_8999999_7+'GMIC_2020-Annu_SCDPT3'!SCDPT3_9799999_7</f>
        <v>0</v>
      </c>
      <c r="J415" s="2"/>
      <c r="K415" s="3">
        <f>'GMIC_2020-Annu_SCDPT3'!SCDPT3_8999999_9+'GMIC_2020-Annu_SCDPT3'!SCDPT3_9799999_9</f>
        <v>0</v>
      </c>
      <c r="L415" s="2"/>
      <c r="M415" s="2"/>
      <c r="N415" s="2"/>
      <c r="O415" s="2"/>
      <c r="P415" s="2"/>
    </row>
    <row r="416" spans="2:16" x14ac:dyDescent="0.25">
      <c r="B416" s="53" t="s">
        <v>3800</v>
      </c>
      <c r="C416" s="55" t="s">
        <v>524</v>
      </c>
      <c r="D416" s="69"/>
      <c r="E416" s="26"/>
      <c r="F416" s="26"/>
      <c r="G416" s="26"/>
      <c r="H416" s="26"/>
      <c r="I416" s="32">
        <f>'GMIC_2020-Annu_SCDPT3'!SCDPT3_8399999_7+'GMIC_2020-Annu_SCDPT3'!SCDPT3_8999999_7+'GMIC_2020-Annu_SCDPT3'!SCDPT3_9799999_7</f>
        <v>2013299773</v>
      </c>
      <c r="J416" s="26"/>
      <c r="K416" s="32">
        <f>'GMIC_2020-Annu_SCDPT3'!SCDPT3_8399999_9+'GMIC_2020-Annu_SCDPT3'!SCDPT3_8999999_9+'GMIC_2020-Annu_SCDPT3'!SCDPT3_9799999_9</f>
        <v>2999225</v>
      </c>
      <c r="L416" s="26"/>
      <c r="M416" s="26"/>
      <c r="N416" s="26"/>
      <c r="O416" s="26"/>
      <c r="P416" s="26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&amp;CSCDPT3SCDPT3</oddHeader>
    <oddFooter>&amp;LWing Application : &amp;R SaveAs(2/25/2021-10:18 AM)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B329"/>
  <sheetViews>
    <sheetView workbookViewId="0"/>
  </sheetViews>
  <sheetFormatPr defaultRowHeight="13.8" x14ac:dyDescent="0.25"/>
  <cols>
    <col min="1" max="1" width="1.69921875" customWidth="1"/>
    <col min="2" max="2" width="9.69921875" customWidth="1"/>
    <col min="3" max="4" width="25.69921875" customWidth="1"/>
    <col min="5" max="5" width="63.69921875" customWidth="1"/>
    <col min="6" max="6" width="10.69921875" customWidth="1"/>
    <col min="7" max="7" width="25.69921875" customWidth="1"/>
    <col min="8" max="8" width="12.69921875" customWidth="1"/>
    <col min="9" max="22" width="14.69921875" customWidth="1"/>
    <col min="23" max="23" width="10.69921875" customWidth="1"/>
    <col min="24" max="24" width="14.69921875" customWidth="1"/>
    <col min="25" max="25" width="20.69921875" customWidth="1"/>
    <col min="26" max="27" width="25.69921875" customWidth="1"/>
    <col min="28" max="28" width="10.69921875" customWidth="1"/>
  </cols>
  <sheetData>
    <row r="1" spans="2:28" x14ac:dyDescent="0.25">
      <c r="C1" s="35" t="s">
        <v>1621</v>
      </c>
      <c r="D1" s="35" t="s">
        <v>1151</v>
      </c>
      <c r="E1" s="35" t="s">
        <v>1622</v>
      </c>
      <c r="F1" s="35" t="s">
        <v>245</v>
      </c>
    </row>
    <row r="2" spans="2:28" x14ac:dyDescent="0.25">
      <c r="B2" s="52"/>
      <c r="C2" s="45" t="str">
        <f>'GMIC_2020-Annu_SCDPT1'!Wings_Company_ID</f>
        <v>GMIC</v>
      </c>
      <c r="D2" s="45" t="str">
        <f>'GMIC_2020-Annu_SCDPT1'!Wings_Statement_ID</f>
        <v>2020-Annual</v>
      </c>
      <c r="E2" s="41" t="s">
        <v>3801</v>
      </c>
      <c r="F2" s="41" t="s">
        <v>843</v>
      </c>
      <c r="W2" s="75"/>
    </row>
    <row r="3" spans="2:28" ht="40.049999999999997" customHeight="1" x14ac:dyDescent="0.25">
      <c r="B3" s="59" t="s">
        <v>2429</v>
      </c>
      <c r="C3" s="13"/>
      <c r="D3" s="13"/>
      <c r="E3" s="13"/>
      <c r="F3" s="70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70"/>
      <c r="X3" s="13"/>
      <c r="Y3" s="13"/>
      <c r="Z3" s="13"/>
      <c r="AA3" s="13"/>
      <c r="AB3" s="13"/>
    </row>
    <row r="4" spans="2:28" ht="40.049999999999997" customHeight="1" x14ac:dyDescent="0.4">
      <c r="B4" s="58" t="s">
        <v>3499</v>
      </c>
      <c r="C4" s="13"/>
      <c r="D4" s="13"/>
      <c r="E4" s="13"/>
      <c r="F4" s="70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70"/>
      <c r="X4" s="13"/>
      <c r="Y4" s="13"/>
      <c r="Z4" s="13"/>
      <c r="AA4" s="13"/>
      <c r="AB4" s="13"/>
    </row>
    <row r="5" spans="2:28" x14ac:dyDescent="0.25">
      <c r="B5" s="57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  <c r="Q5" s="12">
        <v>15</v>
      </c>
      <c r="R5" s="12">
        <v>16</v>
      </c>
      <c r="S5" s="12">
        <v>17</v>
      </c>
      <c r="T5" s="12">
        <v>18</v>
      </c>
      <c r="U5" s="12">
        <v>19</v>
      </c>
      <c r="V5" s="12">
        <v>20</v>
      </c>
      <c r="W5" s="12">
        <v>21</v>
      </c>
      <c r="X5" s="12">
        <v>22</v>
      </c>
      <c r="Y5" s="12">
        <v>23</v>
      </c>
      <c r="Z5" s="12">
        <v>24</v>
      </c>
      <c r="AA5" s="12">
        <v>25</v>
      </c>
      <c r="AB5" s="12">
        <v>26</v>
      </c>
    </row>
    <row r="6" spans="2:28" ht="46.2" x14ac:dyDescent="0.25">
      <c r="B6" s="56"/>
      <c r="C6" s="14" t="s">
        <v>3837</v>
      </c>
      <c r="D6" s="14" t="s">
        <v>1978</v>
      </c>
      <c r="E6" s="14" t="s">
        <v>3307</v>
      </c>
      <c r="F6" s="14" t="s">
        <v>2186</v>
      </c>
      <c r="G6" s="14" t="s">
        <v>4160</v>
      </c>
      <c r="H6" s="14" t="s">
        <v>1910</v>
      </c>
      <c r="I6" s="14" t="s">
        <v>2187</v>
      </c>
      <c r="J6" s="14" t="s">
        <v>1624</v>
      </c>
      <c r="K6" s="14" t="s">
        <v>1342</v>
      </c>
      <c r="L6" s="14" t="s">
        <v>2682</v>
      </c>
      <c r="M6" s="14" t="s">
        <v>885</v>
      </c>
      <c r="N6" s="14" t="s">
        <v>2431</v>
      </c>
      <c r="O6" s="14" t="s">
        <v>2712</v>
      </c>
      <c r="P6" s="14" t="s">
        <v>1945</v>
      </c>
      <c r="Q6" s="14" t="s">
        <v>525</v>
      </c>
      <c r="R6" s="14" t="s">
        <v>2683</v>
      </c>
      <c r="S6" s="14" t="s">
        <v>3035</v>
      </c>
      <c r="T6" s="14" t="s">
        <v>844</v>
      </c>
      <c r="U6" s="14" t="s">
        <v>845</v>
      </c>
      <c r="V6" s="14" t="s">
        <v>3275</v>
      </c>
      <c r="W6" s="14" t="s">
        <v>887</v>
      </c>
      <c r="X6" s="14" t="s">
        <v>549</v>
      </c>
      <c r="Y6" s="14" t="s">
        <v>3309</v>
      </c>
      <c r="Z6" s="14" t="s">
        <v>3065</v>
      </c>
      <c r="AA6" s="14" t="s">
        <v>550</v>
      </c>
      <c r="AB6" s="14" t="s">
        <v>2434</v>
      </c>
    </row>
    <row r="7" spans="2:28" x14ac:dyDescent="0.25">
      <c r="B7" s="7" t="s">
        <v>2713</v>
      </c>
      <c r="C7" s="1" t="s">
        <v>2713</v>
      </c>
      <c r="D7" s="8" t="s">
        <v>2713</v>
      </c>
      <c r="E7" s="1" t="s">
        <v>2713</v>
      </c>
      <c r="F7" s="1" t="s">
        <v>2713</v>
      </c>
      <c r="G7" s="1" t="s">
        <v>2713</v>
      </c>
      <c r="H7" s="1" t="s">
        <v>2713</v>
      </c>
      <c r="I7" s="1" t="s">
        <v>2713</v>
      </c>
      <c r="J7" s="1" t="s">
        <v>2713</v>
      </c>
      <c r="K7" s="1" t="s">
        <v>2713</v>
      </c>
      <c r="L7" s="1" t="s">
        <v>2713</v>
      </c>
      <c r="M7" s="1" t="s">
        <v>2713</v>
      </c>
      <c r="N7" s="1" t="s">
        <v>2713</v>
      </c>
      <c r="O7" s="1" t="s">
        <v>2713</v>
      </c>
      <c r="P7" s="1" t="s">
        <v>2713</v>
      </c>
      <c r="Q7" s="1" t="s">
        <v>2713</v>
      </c>
      <c r="R7" s="1" t="s">
        <v>2713</v>
      </c>
      <c r="S7" s="1" t="s">
        <v>2713</v>
      </c>
      <c r="T7" s="1" t="s">
        <v>2713</v>
      </c>
      <c r="U7" s="1" t="s">
        <v>2713</v>
      </c>
      <c r="V7" s="1" t="s">
        <v>2713</v>
      </c>
      <c r="W7" s="1" t="s">
        <v>2713</v>
      </c>
      <c r="X7" s="1" t="s">
        <v>2713</v>
      </c>
      <c r="Y7" s="1" t="s">
        <v>2713</v>
      </c>
      <c r="Z7" s="1" t="s">
        <v>2713</v>
      </c>
      <c r="AA7" s="1" t="s">
        <v>2713</v>
      </c>
      <c r="AB7" s="1" t="s">
        <v>2713</v>
      </c>
    </row>
    <row r="8" spans="2:28" x14ac:dyDescent="0.25">
      <c r="B8" s="18" t="s">
        <v>4393</v>
      </c>
      <c r="C8" s="44" t="s">
        <v>2188</v>
      </c>
      <c r="D8" s="20" t="s">
        <v>2438</v>
      </c>
      <c r="E8" s="22" t="s">
        <v>3</v>
      </c>
      <c r="F8" s="10">
        <v>43890</v>
      </c>
      <c r="G8" s="5" t="s">
        <v>1104</v>
      </c>
      <c r="H8" s="2"/>
      <c r="I8" s="4">
        <v>2130000</v>
      </c>
      <c r="J8" s="4">
        <v>2130000</v>
      </c>
      <c r="K8" s="4">
        <v>2111821</v>
      </c>
      <c r="L8" s="4">
        <v>2129534</v>
      </c>
      <c r="M8" s="4">
        <v>0</v>
      </c>
      <c r="N8" s="4">
        <v>466</v>
      </c>
      <c r="O8" s="4">
        <v>0</v>
      </c>
      <c r="P8" s="3">
        <f>'GMIC_2020-Annu_SCDPT4'!SCDPT4_0500001_11+'GMIC_2020-Annu_SCDPT4'!SCDPT4_0500001_12-'GMIC_2020-Annu_SCDPT4'!SCDPT4_0500001_13</f>
        <v>466</v>
      </c>
      <c r="Q8" s="4">
        <v>0</v>
      </c>
      <c r="R8" s="4">
        <v>2130000</v>
      </c>
      <c r="S8" s="4">
        <v>0</v>
      </c>
      <c r="T8" s="4">
        <v>0</v>
      </c>
      <c r="U8" s="3">
        <f>'GMIC_2020-Annu_SCDPT4'!SCDPT4_0500001_17+'GMIC_2020-Annu_SCDPT4'!SCDPT4_0500001_18</f>
        <v>0</v>
      </c>
      <c r="V8" s="4">
        <v>13388</v>
      </c>
      <c r="W8" s="10">
        <v>43890</v>
      </c>
      <c r="X8" s="2"/>
      <c r="Y8" s="5" t="s">
        <v>3</v>
      </c>
      <c r="Z8" s="5" t="s">
        <v>3841</v>
      </c>
      <c r="AA8" s="5" t="s">
        <v>3533</v>
      </c>
      <c r="AB8" s="16" t="s">
        <v>3</v>
      </c>
    </row>
    <row r="9" spans="2:28" x14ac:dyDescent="0.25">
      <c r="B9" s="18" t="s">
        <v>1313</v>
      </c>
      <c r="C9" s="44" t="s">
        <v>846</v>
      </c>
      <c r="D9" s="20" t="s">
        <v>2438</v>
      </c>
      <c r="E9" s="51" t="s">
        <v>3</v>
      </c>
      <c r="F9" s="10">
        <v>44043</v>
      </c>
      <c r="G9" s="5" t="s">
        <v>1104</v>
      </c>
      <c r="H9" s="2"/>
      <c r="I9" s="4">
        <v>5960000</v>
      </c>
      <c r="J9" s="4">
        <v>5960000</v>
      </c>
      <c r="K9" s="4">
        <v>5961230</v>
      </c>
      <c r="L9" s="4">
        <v>5960140</v>
      </c>
      <c r="M9" s="4">
        <v>0</v>
      </c>
      <c r="N9" s="4">
        <v>-140</v>
      </c>
      <c r="O9" s="4">
        <v>0</v>
      </c>
      <c r="P9" s="24">
        <v>-140</v>
      </c>
      <c r="Q9" s="4">
        <v>0</v>
      </c>
      <c r="R9" s="4">
        <v>5960000</v>
      </c>
      <c r="S9" s="4">
        <v>0</v>
      </c>
      <c r="T9" s="4">
        <v>0</v>
      </c>
      <c r="U9" s="24">
        <v>0</v>
      </c>
      <c r="V9" s="4">
        <v>122106</v>
      </c>
      <c r="W9" s="10">
        <v>44043</v>
      </c>
      <c r="X9" s="2"/>
      <c r="Y9" s="5" t="s">
        <v>3</v>
      </c>
      <c r="Z9" s="5" t="s">
        <v>3841</v>
      </c>
      <c r="AA9" s="5" t="s">
        <v>3533</v>
      </c>
      <c r="AB9" s="16" t="s">
        <v>3</v>
      </c>
    </row>
    <row r="10" spans="2:28" x14ac:dyDescent="0.25">
      <c r="B10" s="18" t="s">
        <v>2396</v>
      </c>
      <c r="C10" s="44" t="s">
        <v>4408</v>
      </c>
      <c r="D10" s="20" t="s">
        <v>2438</v>
      </c>
      <c r="E10" s="51" t="s">
        <v>3</v>
      </c>
      <c r="F10" s="11">
        <v>44074</v>
      </c>
      <c r="G10" s="5" t="s">
        <v>1104</v>
      </c>
      <c r="H10" s="2"/>
      <c r="I10" s="4">
        <v>7383000</v>
      </c>
      <c r="J10" s="4">
        <v>7383000</v>
      </c>
      <c r="K10" s="4">
        <v>7419627</v>
      </c>
      <c r="L10" s="4">
        <v>7387757</v>
      </c>
      <c r="M10" s="4">
        <v>0</v>
      </c>
      <c r="N10" s="4">
        <v>-4757</v>
      </c>
      <c r="O10" s="4">
        <v>0</v>
      </c>
      <c r="P10" s="24">
        <v>-4757</v>
      </c>
      <c r="Q10" s="4">
        <v>0</v>
      </c>
      <c r="R10" s="4">
        <v>7383000</v>
      </c>
      <c r="S10" s="4">
        <v>0</v>
      </c>
      <c r="T10" s="4">
        <v>0</v>
      </c>
      <c r="U10" s="24">
        <v>0</v>
      </c>
      <c r="V10" s="4">
        <v>188718</v>
      </c>
      <c r="W10" s="11">
        <v>44074</v>
      </c>
      <c r="X10" s="2"/>
      <c r="Y10" s="5" t="s">
        <v>3</v>
      </c>
      <c r="Z10" s="5" t="s">
        <v>3841</v>
      </c>
      <c r="AA10" s="5" t="s">
        <v>3533</v>
      </c>
      <c r="AB10" s="16" t="s">
        <v>3</v>
      </c>
    </row>
    <row r="11" spans="2:28" x14ac:dyDescent="0.25">
      <c r="B11" s="7" t="s">
        <v>2713</v>
      </c>
      <c r="C11" s="1" t="s">
        <v>2713</v>
      </c>
      <c r="D11" s="8" t="s">
        <v>2713</v>
      </c>
      <c r="E11" s="1" t="s">
        <v>2713</v>
      </c>
      <c r="F11" s="15" t="s">
        <v>2713</v>
      </c>
      <c r="G11" s="1" t="s">
        <v>2713</v>
      </c>
      <c r="H11" s="1" t="s">
        <v>2713</v>
      </c>
      <c r="I11" s="1" t="s">
        <v>2713</v>
      </c>
      <c r="J11" s="1" t="s">
        <v>2713</v>
      </c>
      <c r="K11" s="1" t="s">
        <v>2713</v>
      </c>
      <c r="L11" s="1" t="s">
        <v>2713</v>
      </c>
      <c r="M11" s="1" t="s">
        <v>2713</v>
      </c>
      <c r="N11" s="1" t="s">
        <v>2713</v>
      </c>
      <c r="O11" s="1" t="s">
        <v>2713</v>
      </c>
      <c r="P11" s="1" t="s">
        <v>2713</v>
      </c>
      <c r="Q11" s="1" t="s">
        <v>2713</v>
      </c>
      <c r="R11" s="1" t="s">
        <v>2713</v>
      </c>
      <c r="S11" s="1" t="s">
        <v>2713</v>
      </c>
      <c r="T11" s="1" t="s">
        <v>2713</v>
      </c>
      <c r="U11" s="1" t="s">
        <v>2713</v>
      </c>
      <c r="V11" s="1" t="s">
        <v>2713</v>
      </c>
      <c r="W11" s="15" t="s">
        <v>2713</v>
      </c>
      <c r="X11" s="1" t="s">
        <v>2713</v>
      </c>
      <c r="Y11" s="1" t="s">
        <v>2713</v>
      </c>
      <c r="Z11" s="1" t="s">
        <v>2713</v>
      </c>
      <c r="AA11" s="1" t="s">
        <v>2713</v>
      </c>
      <c r="AB11" s="1" t="s">
        <v>2713</v>
      </c>
    </row>
    <row r="12" spans="2:28" ht="27.6" x14ac:dyDescent="0.25">
      <c r="B12" s="21" t="s">
        <v>4</v>
      </c>
      <c r="C12" s="19" t="s">
        <v>2993</v>
      </c>
      <c r="D12" s="17"/>
      <c r="E12" s="2"/>
      <c r="F12" s="27"/>
      <c r="G12" s="2"/>
      <c r="H12" s="2"/>
      <c r="I12" s="3">
        <f>SUM('GMIC_2020-Annu_SCDPT4'!SCDPT4_05BEGIN_7:'GMIC_2020-Annu_SCDPT4'!SCDPT4_05ENDIN_7)</f>
        <v>15473000</v>
      </c>
      <c r="J12" s="3">
        <f>SUM('GMIC_2020-Annu_SCDPT4'!SCDPT4_05BEGIN_8:'GMIC_2020-Annu_SCDPT4'!SCDPT4_05ENDIN_8)</f>
        <v>15473000</v>
      </c>
      <c r="K12" s="3">
        <f>SUM('GMIC_2020-Annu_SCDPT4'!SCDPT4_05BEGIN_9:'GMIC_2020-Annu_SCDPT4'!SCDPT4_05ENDIN_9)</f>
        <v>15492678</v>
      </c>
      <c r="L12" s="3">
        <f>SUM('GMIC_2020-Annu_SCDPT4'!SCDPT4_05BEGIN_10:'GMIC_2020-Annu_SCDPT4'!SCDPT4_05ENDIN_10)</f>
        <v>15477431</v>
      </c>
      <c r="M12" s="3">
        <f>SUM('GMIC_2020-Annu_SCDPT4'!SCDPT4_05BEGIN_11:'GMIC_2020-Annu_SCDPT4'!SCDPT4_05ENDIN_11)</f>
        <v>0</v>
      </c>
      <c r="N12" s="3">
        <f>SUM('GMIC_2020-Annu_SCDPT4'!SCDPT4_05BEGIN_12:'GMIC_2020-Annu_SCDPT4'!SCDPT4_05ENDIN_12)</f>
        <v>-4431</v>
      </c>
      <c r="O12" s="3">
        <f>SUM('GMIC_2020-Annu_SCDPT4'!SCDPT4_05BEGIN_13:'GMIC_2020-Annu_SCDPT4'!SCDPT4_05ENDIN_13)</f>
        <v>0</v>
      </c>
      <c r="P12" s="3">
        <f>SUM('GMIC_2020-Annu_SCDPT4'!SCDPT4_05BEGIN_14:'GMIC_2020-Annu_SCDPT4'!SCDPT4_05ENDIN_14)</f>
        <v>-4431</v>
      </c>
      <c r="Q12" s="3">
        <f>SUM('GMIC_2020-Annu_SCDPT4'!SCDPT4_05BEGIN_15:'GMIC_2020-Annu_SCDPT4'!SCDPT4_05ENDIN_15)</f>
        <v>0</v>
      </c>
      <c r="R12" s="3">
        <f>SUM('GMIC_2020-Annu_SCDPT4'!SCDPT4_05BEGIN_16:'GMIC_2020-Annu_SCDPT4'!SCDPT4_05ENDIN_16)</f>
        <v>15473000</v>
      </c>
      <c r="S12" s="3">
        <f>SUM('GMIC_2020-Annu_SCDPT4'!SCDPT4_05BEGIN_17:'GMIC_2020-Annu_SCDPT4'!SCDPT4_05ENDIN_17)</f>
        <v>0</v>
      </c>
      <c r="T12" s="3">
        <f>SUM('GMIC_2020-Annu_SCDPT4'!SCDPT4_05BEGIN_18:'GMIC_2020-Annu_SCDPT4'!SCDPT4_05ENDIN_18)</f>
        <v>0</v>
      </c>
      <c r="U12" s="3">
        <f>SUM('GMIC_2020-Annu_SCDPT4'!SCDPT4_05BEGIN_19:'GMIC_2020-Annu_SCDPT4'!SCDPT4_05ENDIN_19)</f>
        <v>0</v>
      </c>
      <c r="V12" s="3">
        <f>SUM('GMIC_2020-Annu_SCDPT4'!SCDPT4_05BEGIN_20:'GMIC_2020-Annu_SCDPT4'!SCDPT4_05ENDIN_20)</f>
        <v>324212</v>
      </c>
      <c r="W12" s="27"/>
      <c r="X12" s="2"/>
      <c r="Y12" s="2"/>
      <c r="Z12" s="2"/>
      <c r="AA12" s="2"/>
      <c r="AB12" s="2"/>
    </row>
    <row r="13" spans="2:28" x14ac:dyDescent="0.25">
      <c r="B13" s="7" t="s">
        <v>2713</v>
      </c>
      <c r="C13" s="1" t="s">
        <v>2713</v>
      </c>
      <c r="D13" s="8" t="s">
        <v>2713</v>
      </c>
      <c r="E13" s="1" t="s">
        <v>2713</v>
      </c>
      <c r="F13" s="1" t="s">
        <v>2713</v>
      </c>
      <c r="G13" s="1" t="s">
        <v>2713</v>
      </c>
      <c r="H13" s="1" t="s">
        <v>2713</v>
      </c>
      <c r="I13" s="1" t="s">
        <v>2713</v>
      </c>
      <c r="J13" s="1" t="s">
        <v>2713</v>
      </c>
      <c r="K13" s="1" t="s">
        <v>2713</v>
      </c>
      <c r="L13" s="1" t="s">
        <v>2713</v>
      </c>
      <c r="M13" s="1" t="s">
        <v>2713</v>
      </c>
      <c r="N13" s="1" t="s">
        <v>2713</v>
      </c>
      <c r="O13" s="1" t="s">
        <v>2713</v>
      </c>
      <c r="P13" s="1" t="s">
        <v>2713</v>
      </c>
      <c r="Q13" s="1" t="s">
        <v>2713</v>
      </c>
      <c r="R13" s="1" t="s">
        <v>2713</v>
      </c>
      <c r="S13" s="1" t="s">
        <v>2713</v>
      </c>
      <c r="T13" s="1" t="s">
        <v>2713</v>
      </c>
      <c r="U13" s="1" t="s">
        <v>2713</v>
      </c>
      <c r="V13" s="1" t="s">
        <v>2713</v>
      </c>
      <c r="W13" s="1" t="s">
        <v>2713</v>
      </c>
      <c r="X13" s="1" t="s">
        <v>2713</v>
      </c>
      <c r="Y13" s="1" t="s">
        <v>2713</v>
      </c>
      <c r="Z13" s="1" t="s">
        <v>2713</v>
      </c>
      <c r="AA13" s="1" t="s">
        <v>2713</v>
      </c>
      <c r="AB13" s="1" t="s">
        <v>2713</v>
      </c>
    </row>
    <row r="14" spans="2:28" x14ac:dyDescent="0.25">
      <c r="B14" s="18" t="s">
        <v>1103</v>
      </c>
      <c r="C14" s="25" t="s">
        <v>3846</v>
      </c>
      <c r="D14" s="20" t="s">
        <v>3</v>
      </c>
      <c r="E14" s="22" t="s">
        <v>3</v>
      </c>
      <c r="F14" s="9"/>
      <c r="G14" s="5" t="s">
        <v>3</v>
      </c>
      <c r="H14" s="2"/>
      <c r="I14" s="4"/>
      <c r="J14" s="4"/>
      <c r="K14" s="4"/>
      <c r="L14" s="4"/>
      <c r="M14" s="4"/>
      <c r="N14" s="4"/>
      <c r="O14" s="4"/>
      <c r="P14" s="24"/>
      <c r="Q14" s="4"/>
      <c r="R14" s="4"/>
      <c r="S14" s="4"/>
      <c r="T14" s="4"/>
      <c r="U14" s="24"/>
      <c r="V14" s="4"/>
      <c r="W14" s="9"/>
      <c r="X14" s="2"/>
      <c r="Y14" s="5" t="s">
        <v>3</v>
      </c>
      <c r="Z14" s="5" t="s">
        <v>3</v>
      </c>
      <c r="AA14" s="5" t="s">
        <v>3</v>
      </c>
      <c r="AB14" s="16" t="s">
        <v>3</v>
      </c>
    </row>
    <row r="15" spans="2:28" x14ac:dyDescent="0.25">
      <c r="B15" s="7" t="s">
        <v>2713</v>
      </c>
      <c r="C15" s="1" t="s">
        <v>2713</v>
      </c>
      <c r="D15" s="8" t="s">
        <v>2713</v>
      </c>
      <c r="E15" s="1" t="s">
        <v>2713</v>
      </c>
      <c r="F15" s="15" t="s">
        <v>2713</v>
      </c>
      <c r="G15" s="1" t="s">
        <v>2713</v>
      </c>
      <c r="H15" s="1" t="s">
        <v>2713</v>
      </c>
      <c r="I15" s="1" t="s">
        <v>2713</v>
      </c>
      <c r="J15" s="1" t="s">
        <v>2713</v>
      </c>
      <c r="K15" s="1" t="s">
        <v>2713</v>
      </c>
      <c r="L15" s="1" t="s">
        <v>2713</v>
      </c>
      <c r="M15" s="1" t="s">
        <v>2713</v>
      </c>
      <c r="N15" s="1" t="s">
        <v>2713</v>
      </c>
      <c r="O15" s="1" t="s">
        <v>2713</v>
      </c>
      <c r="P15" s="1" t="s">
        <v>2713</v>
      </c>
      <c r="Q15" s="1" t="s">
        <v>2713</v>
      </c>
      <c r="R15" s="1" t="s">
        <v>2713</v>
      </c>
      <c r="S15" s="1" t="s">
        <v>2713</v>
      </c>
      <c r="T15" s="1" t="s">
        <v>2713</v>
      </c>
      <c r="U15" s="1" t="s">
        <v>2713</v>
      </c>
      <c r="V15" s="1" t="s">
        <v>2713</v>
      </c>
      <c r="W15" s="15" t="s">
        <v>2713</v>
      </c>
      <c r="X15" s="1" t="s">
        <v>2713</v>
      </c>
      <c r="Y15" s="1" t="s">
        <v>2713</v>
      </c>
      <c r="Z15" s="1" t="s">
        <v>2713</v>
      </c>
      <c r="AA15" s="1" t="s">
        <v>2713</v>
      </c>
      <c r="AB15" s="1" t="s">
        <v>2713</v>
      </c>
    </row>
    <row r="16" spans="2:28" ht="27.6" x14ac:dyDescent="0.25">
      <c r="B16" s="21" t="s">
        <v>2220</v>
      </c>
      <c r="C16" s="19" t="s">
        <v>2176</v>
      </c>
      <c r="D16" s="17"/>
      <c r="E16" s="2"/>
      <c r="F16" s="27"/>
      <c r="G16" s="2"/>
      <c r="H16" s="2"/>
      <c r="I16" s="3">
        <f>SUM('GMIC_2020-Annu_SCDPT4'!SCDPT4_10BEGIN_7:'GMIC_2020-Annu_SCDPT4'!SCDPT4_10ENDIN_7)</f>
        <v>0</v>
      </c>
      <c r="J16" s="3">
        <f>SUM('GMIC_2020-Annu_SCDPT4'!SCDPT4_10BEGIN_8:'GMIC_2020-Annu_SCDPT4'!SCDPT4_10ENDIN_8)</f>
        <v>0</v>
      </c>
      <c r="K16" s="3">
        <f>SUM('GMIC_2020-Annu_SCDPT4'!SCDPT4_10BEGIN_9:'GMIC_2020-Annu_SCDPT4'!SCDPT4_10ENDIN_9)</f>
        <v>0</v>
      </c>
      <c r="L16" s="3">
        <f>SUM('GMIC_2020-Annu_SCDPT4'!SCDPT4_10BEGIN_10:'GMIC_2020-Annu_SCDPT4'!SCDPT4_10ENDIN_10)</f>
        <v>0</v>
      </c>
      <c r="M16" s="3">
        <f>SUM('GMIC_2020-Annu_SCDPT4'!SCDPT4_10BEGIN_11:'GMIC_2020-Annu_SCDPT4'!SCDPT4_10ENDIN_11)</f>
        <v>0</v>
      </c>
      <c r="N16" s="3">
        <f>SUM('GMIC_2020-Annu_SCDPT4'!SCDPT4_10BEGIN_12:'GMIC_2020-Annu_SCDPT4'!SCDPT4_10ENDIN_12)</f>
        <v>0</v>
      </c>
      <c r="O16" s="3">
        <f>SUM('GMIC_2020-Annu_SCDPT4'!SCDPT4_10BEGIN_13:'GMIC_2020-Annu_SCDPT4'!SCDPT4_10ENDIN_13)</f>
        <v>0</v>
      </c>
      <c r="P16" s="3">
        <f>SUM('GMIC_2020-Annu_SCDPT4'!SCDPT4_10BEGIN_14:'GMIC_2020-Annu_SCDPT4'!SCDPT4_10ENDIN_14)</f>
        <v>0</v>
      </c>
      <c r="Q16" s="3">
        <f>SUM('GMIC_2020-Annu_SCDPT4'!SCDPT4_10BEGIN_15:'GMIC_2020-Annu_SCDPT4'!SCDPT4_10ENDIN_15)</f>
        <v>0</v>
      </c>
      <c r="R16" s="3">
        <f>SUM('GMIC_2020-Annu_SCDPT4'!SCDPT4_10BEGIN_16:'GMIC_2020-Annu_SCDPT4'!SCDPT4_10ENDIN_16)</f>
        <v>0</v>
      </c>
      <c r="S16" s="3">
        <f>SUM('GMIC_2020-Annu_SCDPT4'!SCDPT4_10BEGIN_17:'GMIC_2020-Annu_SCDPT4'!SCDPT4_10ENDIN_17)</f>
        <v>0</v>
      </c>
      <c r="T16" s="3">
        <f>SUM('GMIC_2020-Annu_SCDPT4'!SCDPT4_10BEGIN_18:'GMIC_2020-Annu_SCDPT4'!SCDPT4_10ENDIN_18)</f>
        <v>0</v>
      </c>
      <c r="U16" s="3">
        <f>SUM('GMIC_2020-Annu_SCDPT4'!SCDPT4_10BEGIN_19:'GMIC_2020-Annu_SCDPT4'!SCDPT4_10ENDIN_19)</f>
        <v>0</v>
      </c>
      <c r="V16" s="3">
        <f>SUM('GMIC_2020-Annu_SCDPT4'!SCDPT4_10BEGIN_20:'GMIC_2020-Annu_SCDPT4'!SCDPT4_10ENDIN_20)</f>
        <v>0</v>
      </c>
      <c r="W16" s="27"/>
      <c r="X16" s="2"/>
      <c r="Y16" s="2"/>
      <c r="Z16" s="2"/>
      <c r="AA16" s="2"/>
      <c r="AB16" s="2"/>
    </row>
    <row r="17" spans="2:28" x14ac:dyDescent="0.25">
      <c r="B17" s="7" t="s">
        <v>2713</v>
      </c>
      <c r="C17" s="1" t="s">
        <v>2713</v>
      </c>
      <c r="D17" s="8" t="s">
        <v>2713</v>
      </c>
      <c r="E17" s="1" t="s">
        <v>2713</v>
      </c>
      <c r="F17" s="15" t="s">
        <v>2713</v>
      </c>
      <c r="G17" s="1" t="s">
        <v>2713</v>
      </c>
      <c r="H17" s="1" t="s">
        <v>2713</v>
      </c>
      <c r="I17" s="1" t="s">
        <v>2713</v>
      </c>
      <c r="J17" s="1" t="s">
        <v>2713</v>
      </c>
      <c r="K17" s="1" t="s">
        <v>2713</v>
      </c>
      <c r="L17" s="1" t="s">
        <v>2713</v>
      </c>
      <c r="M17" s="1" t="s">
        <v>2713</v>
      </c>
      <c r="N17" s="1" t="s">
        <v>2713</v>
      </c>
      <c r="O17" s="1" t="s">
        <v>2713</v>
      </c>
      <c r="P17" s="1" t="s">
        <v>2713</v>
      </c>
      <c r="Q17" s="1" t="s">
        <v>2713</v>
      </c>
      <c r="R17" s="1" t="s">
        <v>2713</v>
      </c>
      <c r="S17" s="1" t="s">
        <v>2713</v>
      </c>
      <c r="T17" s="1" t="s">
        <v>2713</v>
      </c>
      <c r="U17" s="1" t="s">
        <v>2713</v>
      </c>
      <c r="V17" s="1" t="s">
        <v>2713</v>
      </c>
      <c r="W17" s="15" t="s">
        <v>2713</v>
      </c>
      <c r="X17" s="1" t="s">
        <v>2713</v>
      </c>
      <c r="Y17" s="1" t="s">
        <v>2713</v>
      </c>
      <c r="Z17" s="1" t="s">
        <v>2713</v>
      </c>
      <c r="AA17" s="1" t="s">
        <v>2713</v>
      </c>
      <c r="AB17" s="1" t="s">
        <v>2713</v>
      </c>
    </row>
    <row r="18" spans="2:28" x14ac:dyDescent="0.25">
      <c r="B18" s="18" t="s">
        <v>4409</v>
      </c>
      <c r="C18" s="25" t="s">
        <v>3846</v>
      </c>
      <c r="D18" s="20" t="s">
        <v>3</v>
      </c>
      <c r="E18" s="22" t="s">
        <v>3</v>
      </c>
      <c r="F18" s="9"/>
      <c r="G18" s="5" t="s">
        <v>3</v>
      </c>
      <c r="H18" s="2"/>
      <c r="I18" s="4"/>
      <c r="J18" s="4"/>
      <c r="K18" s="4"/>
      <c r="L18" s="4"/>
      <c r="M18" s="4"/>
      <c r="N18" s="4"/>
      <c r="O18" s="4"/>
      <c r="P18" s="24"/>
      <c r="Q18" s="4"/>
      <c r="R18" s="4"/>
      <c r="S18" s="4"/>
      <c r="T18" s="4"/>
      <c r="U18" s="24"/>
      <c r="V18" s="4"/>
      <c r="W18" s="9"/>
      <c r="X18" s="42" t="s">
        <v>3</v>
      </c>
      <c r="Y18" s="5" t="s">
        <v>3</v>
      </c>
      <c r="Z18" s="5" t="s">
        <v>3</v>
      </c>
      <c r="AA18" s="5" t="s">
        <v>3</v>
      </c>
      <c r="AB18" s="16" t="s">
        <v>3</v>
      </c>
    </row>
    <row r="19" spans="2:28" x14ac:dyDescent="0.25">
      <c r="B19" s="7" t="s">
        <v>2713</v>
      </c>
      <c r="C19" s="1" t="s">
        <v>2713</v>
      </c>
      <c r="D19" s="8" t="s">
        <v>2713</v>
      </c>
      <c r="E19" s="1" t="s">
        <v>2713</v>
      </c>
      <c r="F19" s="15" t="s">
        <v>2713</v>
      </c>
      <c r="G19" s="1" t="s">
        <v>2713</v>
      </c>
      <c r="H19" s="1" t="s">
        <v>2713</v>
      </c>
      <c r="I19" s="1" t="s">
        <v>2713</v>
      </c>
      <c r="J19" s="1" t="s">
        <v>2713</v>
      </c>
      <c r="K19" s="1" t="s">
        <v>2713</v>
      </c>
      <c r="L19" s="1" t="s">
        <v>2713</v>
      </c>
      <c r="M19" s="1" t="s">
        <v>2713</v>
      </c>
      <c r="N19" s="1" t="s">
        <v>2713</v>
      </c>
      <c r="O19" s="1" t="s">
        <v>2713</v>
      </c>
      <c r="P19" s="1" t="s">
        <v>2713</v>
      </c>
      <c r="Q19" s="1" t="s">
        <v>2713</v>
      </c>
      <c r="R19" s="1" t="s">
        <v>2713</v>
      </c>
      <c r="S19" s="1" t="s">
        <v>2713</v>
      </c>
      <c r="T19" s="1" t="s">
        <v>2713</v>
      </c>
      <c r="U19" s="1" t="s">
        <v>2713</v>
      </c>
      <c r="V19" s="1" t="s">
        <v>2713</v>
      </c>
      <c r="W19" s="15" t="s">
        <v>2713</v>
      </c>
      <c r="X19" s="1" t="s">
        <v>2713</v>
      </c>
      <c r="Y19" s="1" t="s">
        <v>2713</v>
      </c>
      <c r="Z19" s="1" t="s">
        <v>2713</v>
      </c>
      <c r="AA19" s="1" t="s">
        <v>2713</v>
      </c>
      <c r="AB19" s="1" t="s">
        <v>2713</v>
      </c>
    </row>
    <row r="20" spans="2:28" ht="41.4" x14ac:dyDescent="0.25">
      <c r="B20" s="21" t="s">
        <v>1354</v>
      </c>
      <c r="C20" s="19" t="s">
        <v>2177</v>
      </c>
      <c r="D20" s="17"/>
      <c r="E20" s="2"/>
      <c r="F20" s="27"/>
      <c r="G20" s="2"/>
      <c r="H20" s="2"/>
      <c r="I20" s="3">
        <f>SUM('GMIC_2020-Annu_SCDPT4'!SCDPT4_17BEGIN_7:'GMIC_2020-Annu_SCDPT4'!SCDPT4_17ENDIN_7)</f>
        <v>0</v>
      </c>
      <c r="J20" s="3">
        <f>SUM('GMIC_2020-Annu_SCDPT4'!SCDPT4_17BEGIN_8:'GMIC_2020-Annu_SCDPT4'!SCDPT4_17ENDIN_8)</f>
        <v>0</v>
      </c>
      <c r="K20" s="3">
        <f>SUM('GMIC_2020-Annu_SCDPT4'!SCDPT4_17BEGIN_9:'GMIC_2020-Annu_SCDPT4'!SCDPT4_17ENDIN_9)</f>
        <v>0</v>
      </c>
      <c r="L20" s="3">
        <f>SUM('GMIC_2020-Annu_SCDPT4'!SCDPT4_17BEGIN_10:'GMIC_2020-Annu_SCDPT4'!SCDPT4_17ENDIN_10)</f>
        <v>0</v>
      </c>
      <c r="M20" s="3">
        <f>SUM('GMIC_2020-Annu_SCDPT4'!SCDPT4_17BEGIN_11:'GMIC_2020-Annu_SCDPT4'!SCDPT4_17ENDIN_11)</f>
        <v>0</v>
      </c>
      <c r="N20" s="3">
        <f>SUM('GMIC_2020-Annu_SCDPT4'!SCDPT4_17BEGIN_12:'GMIC_2020-Annu_SCDPT4'!SCDPT4_17ENDIN_12)</f>
        <v>0</v>
      </c>
      <c r="O20" s="3">
        <f>SUM('GMIC_2020-Annu_SCDPT4'!SCDPT4_17BEGIN_13:'GMIC_2020-Annu_SCDPT4'!SCDPT4_17ENDIN_13)</f>
        <v>0</v>
      </c>
      <c r="P20" s="3">
        <f>SUM('GMIC_2020-Annu_SCDPT4'!SCDPT4_17BEGIN_14:'GMIC_2020-Annu_SCDPT4'!SCDPT4_17ENDIN_14)</f>
        <v>0</v>
      </c>
      <c r="Q20" s="3">
        <f>SUM('GMIC_2020-Annu_SCDPT4'!SCDPT4_17BEGIN_15:'GMIC_2020-Annu_SCDPT4'!SCDPT4_17ENDIN_15)</f>
        <v>0</v>
      </c>
      <c r="R20" s="3">
        <f>SUM('GMIC_2020-Annu_SCDPT4'!SCDPT4_17BEGIN_16:'GMIC_2020-Annu_SCDPT4'!SCDPT4_17ENDIN_16)</f>
        <v>0</v>
      </c>
      <c r="S20" s="3">
        <f>SUM('GMIC_2020-Annu_SCDPT4'!SCDPT4_17BEGIN_17:'GMIC_2020-Annu_SCDPT4'!SCDPT4_17ENDIN_17)</f>
        <v>0</v>
      </c>
      <c r="T20" s="3">
        <f>SUM('GMIC_2020-Annu_SCDPT4'!SCDPT4_17BEGIN_18:'GMIC_2020-Annu_SCDPT4'!SCDPT4_17ENDIN_18)</f>
        <v>0</v>
      </c>
      <c r="U20" s="3">
        <f>SUM('GMIC_2020-Annu_SCDPT4'!SCDPT4_17BEGIN_19:'GMIC_2020-Annu_SCDPT4'!SCDPT4_17ENDIN_19)</f>
        <v>0</v>
      </c>
      <c r="V20" s="3">
        <f>SUM('GMIC_2020-Annu_SCDPT4'!SCDPT4_17BEGIN_20:'GMIC_2020-Annu_SCDPT4'!SCDPT4_17ENDIN_20)</f>
        <v>0</v>
      </c>
      <c r="W20" s="27"/>
      <c r="X20" s="2"/>
      <c r="Y20" s="2"/>
      <c r="Z20" s="2"/>
      <c r="AA20" s="2"/>
      <c r="AB20" s="2"/>
    </row>
    <row r="21" spans="2:28" x14ac:dyDescent="0.25">
      <c r="B21" s="7" t="s">
        <v>2713</v>
      </c>
      <c r="C21" s="1" t="s">
        <v>2713</v>
      </c>
      <c r="D21" s="8" t="s">
        <v>2713</v>
      </c>
      <c r="E21" s="1" t="s">
        <v>2713</v>
      </c>
      <c r="F21" s="15" t="s">
        <v>2713</v>
      </c>
      <c r="G21" s="1" t="s">
        <v>2713</v>
      </c>
      <c r="H21" s="1" t="s">
        <v>2713</v>
      </c>
      <c r="I21" s="1" t="s">
        <v>2713</v>
      </c>
      <c r="J21" s="1" t="s">
        <v>2713</v>
      </c>
      <c r="K21" s="1" t="s">
        <v>2713</v>
      </c>
      <c r="L21" s="1" t="s">
        <v>2713</v>
      </c>
      <c r="M21" s="1" t="s">
        <v>2713</v>
      </c>
      <c r="N21" s="1" t="s">
        <v>2713</v>
      </c>
      <c r="O21" s="1" t="s">
        <v>2713</v>
      </c>
      <c r="P21" s="1" t="s">
        <v>2713</v>
      </c>
      <c r="Q21" s="1" t="s">
        <v>2713</v>
      </c>
      <c r="R21" s="1" t="s">
        <v>2713</v>
      </c>
      <c r="S21" s="1" t="s">
        <v>2713</v>
      </c>
      <c r="T21" s="1" t="s">
        <v>2713</v>
      </c>
      <c r="U21" s="1" t="s">
        <v>2713</v>
      </c>
      <c r="V21" s="1" t="s">
        <v>2713</v>
      </c>
      <c r="W21" s="15" t="s">
        <v>2713</v>
      </c>
      <c r="X21" s="1" t="s">
        <v>2713</v>
      </c>
      <c r="Y21" s="1" t="s">
        <v>2713</v>
      </c>
      <c r="Z21" s="1" t="s">
        <v>2713</v>
      </c>
      <c r="AA21" s="1" t="s">
        <v>2713</v>
      </c>
      <c r="AB21" s="1" t="s">
        <v>2713</v>
      </c>
    </row>
    <row r="22" spans="2:28" x14ac:dyDescent="0.25">
      <c r="B22" s="18" t="s">
        <v>1946</v>
      </c>
      <c r="C22" s="44" t="s">
        <v>1596</v>
      </c>
      <c r="D22" s="20" t="s">
        <v>4161</v>
      </c>
      <c r="E22" s="22" t="s">
        <v>3</v>
      </c>
      <c r="F22" s="11">
        <v>44173</v>
      </c>
      <c r="G22" s="5" t="s">
        <v>1104</v>
      </c>
      <c r="H22" s="2"/>
      <c r="I22" s="4">
        <v>1756000</v>
      </c>
      <c r="J22" s="4">
        <v>2000000</v>
      </c>
      <c r="K22" s="4">
        <v>765271</v>
      </c>
      <c r="L22" s="4">
        <v>1032572</v>
      </c>
      <c r="M22" s="4">
        <v>0</v>
      </c>
      <c r="N22" s="4">
        <v>63287</v>
      </c>
      <c r="O22" s="4">
        <v>0</v>
      </c>
      <c r="P22" s="3">
        <f>'GMIC_2020-Annu_SCDPT4'!SCDPT4_2400001_11+'GMIC_2020-Annu_SCDPT4'!SCDPT4_2400001_12-'GMIC_2020-Annu_SCDPT4'!SCDPT4_2400001_13</f>
        <v>63287</v>
      </c>
      <c r="Q22" s="4">
        <v>0</v>
      </c>
      <c r="R22" s="4">
        <v>1095859</v>
      </c>
      <c r="S22" s="4">
        <v>0</v>
      </c>
      <c r="T22" s="4">
        <v>660141</v>
      </c>
      <c r="U22" s="3">
        <f>'GMIC_2020-Annu_SCDPT4'!SCDPT4_2400001_17+'GMIC_2020-Annu_SCDPT4'!SCDPT4_2400001_18</f>
        <v>660141</v>
      </c>
      <c r="V22" s="4">
        <v>0</v>
      </c>
      <c r="W22" s="11">
        <v>47649</v>
      </c>
      <c r="X22" s="42" t="s">
        <v>1170</v>
      </c>
      <c r="Y22" s="5" t="s">
        <v>3</v>
      </c>
      <c r="Z22" s="5" t="s">
        <v>2397</v>
      </c>
      <c r="AA22" s="5" t="s">
        <v>2226</v>
      </c>
      <c r="AB22" s="16" t="s">
        <v>3</v>
      </c>
    </row>
    <row r="23" spans="2:28" x14ac:dyDescent="0.25">
      <c r="B23" s="18" t="s">
        <v>3036</v>
      </c>
      <c r="C23" s="44" t="s">
        <v>847</v>
      </c>
      <c r="D23" s="20" t="s">
        <v>1116</v>
      </c>
      <c r="E23" s="51" t="s">
        <v>3</v>
      </c>
      <c r="F23" s="10">
        <v>44136</v>
      </c>
      <c r="G23" s="5" t="s">
        <v>848</v>
      </c>
      <c r="H23" s="2"/>
      <c r="I23" s="4">
        <v>65000</v>
      </c>
      <c r="J23" s="4">
        <v>65000</v>
      </c>
      <c r="K23" s="4">
        <v>64676</v>
      </c>
      <c r="L23" s="4">
        <v>64975</v>
      </c>
      <c r="M23" s="4">
        <v>0</v>
      </c>
      <c r="N23" s="4">
        <v>25</v>
      </c>
      <c r="O23" s="4">
        <v>0</v>
      </c>
      <c r="P23" s="24">
        <v>25</v>
      </c>
      <c r="Q23" s="4">
        <v>0</v>
      </c>
      <c r="R23" s="4">
        <v>65000</v>
      </c>
      <c r="S23" s="4">
        <v>0</v>
      </c>
      <c r="T23" s="4">
        <v>0</v>
      </c>
      <c r="U23" s="24">
        <v>0</v>
      </c>
      <c r="V23" s="4">
        <v>3250</v>
      </c>
      <c r="W23" s="10">
        <v>44136</v>
      </c>
      <c r="X23" s="64" t="s">
        <v>3276</v>
      </c>
      <c r="Y23" s="5" t="s">
        <v>3</v>
      </c>
      <c r="Z23" s="5" t="s">
        <v>1597</v>
      </c>
      <c r="AA23" s="5" t="s">
        <v>3310</v>
      </c>
      <c r="AB23" s="16" t="s">
        <v>3</v>
      </c>
    </row>
    <row r="24" spans="2:28" x14ac:dyDescent="0.25">
      <c r="B24" s="18" t="s">
        <v>4162</v>
      </c>
      <c r="C24" s="44" t="s">
        <v>1314</v>
      </c>
      <c r="D24" s="20" t="s">
        <v>1117</v>
      </c>
      <c r="E24" s="51" t="s">
        <v>3</v>
      </c>
      <c r="F24" s="11">
        <v>44012</v>
      </c>
      <c r="G24" s="5" t="s">
        <v>848</v>
      </c>
      <c r="H24" s="2"/>
      <c r="I24" s="4">
        <v>880000</v>
      </c>
      <c r="J24" s="4">
        <v>880000</v>
      </c>
      <c r="K24" s="4">
        <v>880000</v>
      </c>
      <c r="L24" s="4">
        <v>880000</v>
      </c>
      <c r="M24" s="4">
        <v>0</v>
      </c>
      <c r="N24" s="4">
        <v>0</v>
      </c>
      <c r="O24" s="4">
        <v>0</v>
      </c>
      <c r="P24" s="24">
        <v>0</v>
      </c>
      <c r="Q24" s="4">
        <v>0</v>
      </c>
      <c r="R24" s="4">
        <v>880000</v>
      </c>
      <c r="S24" s="4">
        <v>0</v>
      </c>
      <c r="T24" s="4">
        <v>0</v>
      </c>
      <c r="U24" s="24">
        <v>0</v>
      </c>
      <c r="V24" s="4">
        <v>9940</v>
      </c>
      <c r="W24" s="11">
        <v>44012</v>
      </c>
      <c r="X24" s="64" t="s">
        <v>1170</v>
      </c>
      <c r="Y24" s="5" t="s">
        <v>3</v>
      </c>
      <c r="Z24" s="5" t="s">
        <v>4163</v>
      </c>
      <c r="AA24" s="5" t="s">
        <v>4163</v>
      </c>
      <c r="AB24" s="16" t="s">
        <v>3</v>
      </c>
    </row>
    <row r="25" spans="2:28" x14ac:dyDescent="0.25">
      <c r="B25" s="7" t="s">
        <v>2713</v>
      </c>
      <c r="C25" s="1" t="s">
        <v>2713</v>
      </c>
      <c r="D25" s="8" t="s">
        <v>2713</v>
      </c>
      <c r="E25" s="1" t="s">
        <v>2713</v>
      </c>
      <c r="F25" s="15" t="s">
        <v>2713</v>
      </c>
      <c r="G25" s="1" t="s">
        <v>2713</v>
      </c>
      <c r="H25" s="1" t="s">
        <v>2713</v>
      </c>
      <c r="I25" s="1" t="s">
        <v>2713</v>
      </c>
      <c r="J25" s="1" t="s">
        <v>2713</v>
      </c>
      <c r="K25" s="1" t="s">
        <v>2713</v>
      </c>
      <c r="L25" s="1" t="s">
        <v>2713</v>
      </c>
      <c r="M25" s="1" t="s">
        <v>2713</v>
      </c>
      <c r="N25" s="1" t="s">
        <v>2713</v>
      </c>
      <c r="O25" s="1" t="s">
        <v>2713</v>
      </c>
      <c r="P25" s="1" t="s">
        <v>2713</v>
      </c>
      <c r="Q25" s="1" t="s">
        <v>2713</v>
      </c>
      <c r="R25" s="1" t="s">
        <v>2713</v>
      </c>
      <c r="S25" s="1" t="s">
        <v>2713</v>
      </c>
      <c r="T25" s="1" t="s">
        <v>2713</v>
      </c>
      <c r="U25" s="1" t="s">
        <v>2713</v>
      </c>
      <c r="V25" s="1" t="s">
        <v>2713</v>
      </c>
      <c r="W25" s="15" t="s">
        <v>2713</v>
      </c>
      <c r="X25" s="1" t="s">
        <v>2713</v>
      </c>
      <c r="Y25" s="1" t="s">
        <v>2713</v>
      </c>
      <c r="Z25" s="1" t="s">
        <v>2713</v>
      </c>
      <c r="AA25" s="1" t="s">
        <v>2713</v>
      </c>
      <c r="AB25" s="1" t="s">
        <v>2713</v>
      </c>
    </row>
    <row r="26" spans="2:28" ht="55.2" x14ac:dyDescent="0.25">
      <c r="B26" s="21" t="s">
        <v>1994</v>
      </c>
      <c r="C26" s="19" t="s">
        <v>3261</v>
      </c>
      <c r="D26" s="17"/>
      <c r="E26" s="2"/>
      <c r="F26" s="27"/>
      <c r="G26" s="2"/>
      <c r="H26" s="2"/>
      <c r="I26" s="3">
        <f>SUM('GMIC_2020-Annu_SCDPT4'!SCDPT4_24BEGIN_7:'GMIC_2020-Annu_SCDPT4'!SCDPT4_24ENDIN_7)</f>
        <v>2701000</v>
      </c>
      <c r="J26" s="3">
        <f>SUM('GMIC_2020-Annu_SCDPT4'!SCDPT4_24BEGIN_8:'GMIC_2020-Annu_SCDPT4'!SCDPT4_24ENDIN_8)</f>
        <v>2945000</v>
      </c>
      <c r="K26" s="3">
        <f>SUM('GMIC_2020-Annu_SCDPT4'!SCDPT4_24BEGIN_9:'GMIC_2020-Annu_SCDPT4'!SCDPT4_24ENDIN_9)</f>
        <v>1709947</v>
      </c>
      <c r="L26" s="3">
        <f>SUM('GMIC_2020-Annu_SCDPT4'!SCDPT4_24BEGIN_10:'GMIC_2020-Annu_SCDPT4'!SCDPT4_24ENDIN_10)</f>
        <v>1977547</v>
      </c>
      <c r="M26" s="3">
        <f>SUM('GMIC_2020-Annu_SCDPT4'!SCDPT4_24BEGIN_11:'GMIC_2020-Annu_SCDPT4'!SCDPT4_24ENDIN_11)</f>
        <v>0</v>
      </c>
      <c r="N26" s="3">
        <f>SUM('GMIC_2020-Annu_SCDPT4'!SCDPT4_24BEGIN_12:'GMIC_2020-Annu_SCDPT4'!SCDPT4_24ENDIN_12)</f>
        <v>63312</v>
      </c>
      <c r="O26" s="3">
        <f>SUM('GMIC_2020-Annu_SCDPT4'!SCDPT4_24BEGIN_13:'GMIC_2020-Annu_SCDPT4'!SCDPT4_24ENDIN_13)</f>
        <v>0</v>
      </c>
      <c r="P26" s="3">
        <f>SUM('GMIC_2020-Annu_SCDPT4'!SCDPT4_24BEGIN_14:'GMIC_2020-Annu_SCDPT4'!SCDPT4_24ENDIN_14)</f>
        <v>63312</v>
      </c>
      <c r="Q26" s="3">
        <f>SUM('GMIC_2020-Annu_SCDPT4'!SCDPT4_24BEGIN_15:'GMIC_2020-Annu_SCDPT4'!SCDPT4_24ENDIN_15)</f>
        <v>0</v>
      </c>
      <c r="R26" s="3">
        <f>SUM('GMIC_2020-Annu_SCDPT4'!SCDPT4_24BEGIN_16:'GMIC_2020-Annu_SCDPT4'!SCDPT4_24ENDIN_16)</f>
        <v>2040859</v>
      </c>
      <c r="S26" s="3">
        <f>SUM('GMIC_2020-Annu_SCDPT4'!SCDPT4_24BEGIN_17:'GMIC_2020-Annu_SCDPT4'!SCDPT4_24ENDIN_17)</f>
        <v>0</v>
      </c>
      <c r="T26" s="3">
        <f>SUM('GMIC_2020-Annu_SCDPT4'!SCDPT4_24BEGIN_18:'GMIC_2020-Annu_SCDPT4'!SCDPT4_24ENDIN_18)</f>
        <v>660141</v>
      </c>
      <c r="U26" s="3">
        <f>SUM('GMIC_2020-Annu_SCDPT4'!SCDPT4_24BEGIN_19:'GMIC_2020-Annu_SCDPT4'!SCDPT4_24ENDIN_19)</f>
        <v>660141</v>
      </c>
      <c r="V26" s="3">
        <f>SUM('GMIC_2020-Annu_SCDPT4'!SCDPT4_24BEGIN_20:'GMIC_2020-Annu_SCDPT4'!SCDPT4_24ENDIN_20)</f>
        <v>13190</v>
      </c>
      <c r="W26" s="27"/>
      <c r="X26" s="2"/>
      <c r="Y26" s="2"/>
      <c r="Z26" s="2"/>
      <c r="AA26" s="2"/>
      <c r="AB26" s="2"/>
    </row>
    <row r="27" spans="2:28" x14ac:dyDescent="0.25">
      <c r="B27" s="7" t="s">
        <v>2713</v>
      </c>
      <c r="C27" s="1" t="s">
        <v>2713</v>
      </c>
      <c r="D27" s="8" t="s">
        <v>2713</v>
      </c>
      <c r="E27" s="1" t="s">
        <v>2713</v>
      </c>
      <c r="F27" s="15" t="s">
        <v>2713</v>
      </c>
      <c r="G27" s="1" t="s">
        <v>2713</v>
      </c>
      <c r="H27" s="1" t="s">
        <v>2713</v>
      </c>
      <c r="I27" s="1" t="s">
        <v>2713</v>
      </c>
      <c r="J27" s="1" t="s">
        <v>2713</v>
      </c>
      <c r="K27" s="1" t="s">
        <v>2713</v>
      </c>
      <c r="L27" s="1" t="s">
        <v>2713</v>
      </c>
      <c r="M27" s="1" t="s">
        <v>2713</v>
      </c>
      <c r="N27" s="1" t="s">
        <v>2713</v>
      </c>
      <c r="O27" s="1" t="s">
        <v>2713</v>
      </c>
      <c r="P27" s="1" t="s">
        <v>2713</v>
      </c>
      <c r="Q27" s="1" t="s">
        <v>2713</v>
      </c>
      <c r="R27" s="1" t="s">
        <v>2713</v>
      </c>
      <c r="S27" s="1" t="s">
        <v>2713</v>
      </c>
      <c r="T27" s="1" t="s">
        <v>2713</v>
      </c>
      <c r="U27" s="1" t="s">
        <v>2713</v>
      </c>
      <c r="V27" s="1" t="s">
        <v>2713</v>
      </c>
      <c r="W27" s="15" t="s">
        <v>2713</v>
      </c>
      <c r="X27" s="1" t="s">
        <v>2713</v>
      </c>
      <c r="Y27" s="1" t="s">
        <v>2713</v>
      </c>
      <c r="Z27" s="1" t="s">
        <v>2713</v>
      </c>
      <c r="AA27" s="1" t="s">
        <v>2713</v>
      </c>
      <c r="AB27" s="1" t="s">
        <v>2713</v>
      </c>
    </row>
    <row r="28" spans="2:28" x14ac:dyDescent="0.25">
      <c r="B28" s="18" t="s">
        <v>2377</v>
      </c>
      <c r="C28" s="44" t="s">
        <v>909</v>
      </c>
      <c r="D28" s="20" t="s">
        <v>4209</v>
      </c>
      <c r="E28" s="22" t="s">
        <v>3</v>
      </c>
      <c r="F28" s="11">
        <v>44089</v>
      </c>
      <c r="G28" s="5" t="s">
        <v>526</v>
      </c>
      <c r="H28" s="2"/>
      <c r="I28" s="4">
        <v>600000</v>
      </c>
      <c r="J28" s="4">
        <v>600000</v>
      </c>
      <c r="K28" s="4">
        <v>600000</v>
      </c>
      <c r="L28" s="4">
        <v>600000</v>
      </c>
      <c r="M28" s="4">
        <v>0</v>
      </c>
      <c r="N28" s="4">
        <v>0</v>
      </c>
      <c r="O28" s="4">
        <v>0</v>
      </c>
      <c r="P28" s="3">
        <f>'GMIC_2020-Annu_SCDPT4'!SCDPT4_3100001_11+'GMIC_2020-Annu_SCDPT4'!SCDPT4_3100001_12-'GMIC_2020-Annu_SCDPT4'!SCDPT4_3100001_13</f>
        <v>0</v>
      </c>
      <c r="Q28" s="4">
        <v>0</v>
      </c>
      <c r="R28" s="4">
        <v>600000</v>
      </c>
      <c r="S28" s="4">
        <v>0</v>
      </c>
      <c r="T28" s="4">
        <v>0</v>
      </c>
      <c r="U28" s="3">
        <f>'GMIC_2020-Annu_SCDPT4'!SCDPT4_3100001_17+'GMIC_2020-Annu_SCDPT4'!SCDPT4_3100001_18</f>
        <v>0</v>
      </c>
      <c r="V28" s="4">
        <v>18978</v>
      </c>
      <c r="W28" s="11">
        <v>45915</v>
      </c>
      <c r="X28" s="42" t="s">
        <v>258</v>
      </c>
      <c r="Y28" s="5" t="s">
        <v>3</v>
      </c>
      <c r="Z28" s="5" t="s">
        <v>18</v>
      </c>
      <c r="AA28" s="5" t="s">
        <v>4210</v>
      </c>
      <c r="AB28" s="16" t="s">
        <v>3</v>
      </c>
    </row>
    <row r="29" spans="2:28" x14ac:dyDescent="0.25">
      <c r="B29" s="18" t="s">
        <v>3478</v>
      </c>
      <c r="C29" s="44" t="s">
        <v>3802</v>
      </c>
      <c r="D29" s="20" t="s">
        <v>3803</v>
      </c>
      <c r="E29" s="51" t="s">
        <v>3</v>
      </c>
      <c r="F29" s="11">
        <v>44105</v>
      </c>
      <c r="G29" s="5" t="s">
        <v>848</v>
      </c>
      <c r="H29" s="2"/>
      <c r="I29" s="4">
        <v>1250000</v>
      </c>
      <c r="J29" s="4">
        <v>1250000</v>
      </c>
      <c r="K29" s="4">
        <v>1242000</v>
      </c>
      <c r="L29" s="4">
        <v>1245980</v>
      </c>
      <c r="M29" s="4">
        <v>0</v>
      </c>
      <c r="N29" s="4">
        <v>4020</v>
      </c>
      <c r="O29" s="4">
        <v>0</v>
      </c>
      <c r="P29" s="24">
        <v>4020</v>
      </c>
      <c r="Q29" s="4">
        <v>0</v>
      </c>
      <c r="R29" s="4">
        <v>1250000</v>
      </c>
      <c r="S29" s="4">
        <v>0</v>
      </c>
      <c r="T29" s="4">
        <v>0</v>
      </c>
      <c r="U29" s="24">
        <v>0</v>
      </c>
      <c r="V29" s="4">
        <v>27300</v>
      </c>
      <c r="W29" s="11">
        <v>44105</v>
      </c>
      <c r="X29" s="64" t="s">
        <v>3539</v>
      </c>
      <c r="Y29" s="5" t="s">
        <v>3</v>
      </c>
      <c r="Z29" s="5" t="s">
        <v>849</v>
      </c>
      <c r="AA29" s="5" t="s">
        <v>849</v>
      </c>
      <c r="AB29" s="16" t="s">
        <v>3</v>
      </c>
    </row>
    <row r="30" spans="2:28" x14ac:dyDescent="0.25">
      <c r="B30" s="18" t="s">
        <v>187</v>
      </c>
      <c r="C30" s="44" t="s">
        <v>3037</v>
      </c>
      <c r="D30" s="20" t="s">
        <v>4164</v>
      </c>
      <c r="E30" s="51" t="s">
        <v>3</v>
      </c>
      <c r="F30" s="11">
        <v>44013</v>
      </c>
      <c r="G30" s="5" t="s">
        <v>848</v>
      </c>
      <c r="H30" s="2"/>
      <c r="I30" s="4">
        <v>1000000</v>
      </c>
      <c r="J30" s="4">
        <v>1000000</v>
      </c>
      <c r="K30" s="4">
        <v>1073330</v>
      </c>
      <c r="L30" s="4">
        <v>1003709</v>
      </c>
      <c r="M30" s="4">
        <v>0</v>
      </c>
      <c r="N30" s="4">
        <v>-3709</v>
      </c>
      <c r="O30" s="4">
        <v>0</v>
      </c>
      <c r="P30" s="24">
        <v>-3709</v>
      </c>
      <c r="Q30" s="4">
        <v>0</v>
      </c>
      <c r="R30" s="4">
        <v>1000000</v>
      </c>
      <c r="S30" s="4">
        <v>0</v>
      </c>
      <c r="T30" s="4">
        <v>0</v>
      </c>
      <c r="U30" s="24">
        <v>0</v>
      </c>
      <c r="V30" s="4">
        <v>52500</v>
      </c>
      <c r="W30" s="11">
        <v>44013</v>
      </c>
      <c r="X30" s="64" t="s">
        <v>2189</v>
      </c>
      <c r="Y30" s="5" t="s">
        <v>3</v>
      </c>
      <c r="Z30" s="5" t="s">
        <v>4165</v>
      </c>
      <c r="AA30" s="5" t="s">
        <v>1360</v>
      </c>
      <c r="AB30" s="16" t="s">
        <v>3</v>
      </c>
    </row>
    <row r="31" spans="2:28" x14ac:dyDescent="0.25">
      <c r="B31" s="18" t="s">
        <v>1295</v>
      </c>
      <c r="C31" s="44" t="s">
        <v>3804</v>
      </c>
      <c r="D31" s="20" t="s">
        <v>4410</v>
      </c>
      <c r="E31" s="51" t="s">
        <v>3</v>
      </c>
      <c r="F31" s="11">
        <v>44173</v>
      </c>
      <c r="G31" s="5" t="s">
        <v>1947</v>
      </c>
      <c r="H31" s="2"/>
      <c r="I31" s="4">
        <v>516995</v>
      </c>
      <c r="J31" s="4">
        <v>500000</v>
      </c>
      <c r="K31" s="4">
        <v>500000</v>
      </c>
      <c r="L31" s="4">
        <v>500000</v>
      </c>
      <c r="M31" s="4">
        <v>0</v>
      </c>
      <c r="N31" s="4">
        <v>0</v>
      </c>
      <c r="O31" s="4">
        <v>0</v>
      </c>
      <c r="P31" s="24">
        <v>0</v>
      </c>
      <c r="Q31" s="4">
        <v>0</v>
      </c>
      <c r="R31" s="4">
        <v>500000</v>
      </c>
      <c r="S31" s="4">
        <v>0</v>
      </c>
      <c r="T31" s="4">
        <v>16995</v>
      </c>
      <c r="U31" s="24">
        <v>16995</v>
      </c>
      <c r="V31" s="4">
        <v>19859</v>
      </c>
      <c r="W31" s="11">
        <v>44743</v>
      </c>
      <c r="X31" s="64" t="s">
        <v>2717</v>
      </c>
      <c r="Y31" s="5" t="s">
        <v>3</v>
      </c>
      <c r="Z31" s="5" t="s">
        <v>527</v>
      </c>
      <c r="AA31" s="5" t="s">
        <v>527</v>
      </c>
      <c r="AB31" s="16" t="s">
        <v>3</v>
      </c>
    </row>
    <row r="32" spans="2:28" x14ac:dyDescent="0.25">
      <c r="B32" s="18" t="s">
        <v>2378</v>
      </c>
      <c r="C32" s="44" t="s">
        <v>3500</v>
      </c>
      <c r="D32" s="20" t="s">
        <v>3277</v>
      </c>
      <c r="E32" s="51" t="s">
        <v>3</v>
      </c>
      <c r="F32" s="11">
        <v>44173</v>
      </c>
      <c r="G32" s="5" t="s">
        <v>1104</v>
      </c>
      <c r="H32" s="2"/>
      <c r="I32" s="4">
        <v>975083</v>
      </c>
      <c r="J32" s="4">
        <v>750000</v>
      </c>
      <c r="K32" s="4">
        <v>750000</v>
      </c>
      <c r="L32" s="4">
        <v>750000</v>
      </c>
      <c r="M32" s="4">
        <v>0</v>
      </c>
      <c r="N32" s="4">
        <v>0</v>
      </c>
      <c r="O32" s="4">
        <v>0</v>
      </c>
      <c r="P32" s="24">
        <v>0</v>
      </c>
      <c r="Q32" s="4">
        <v>0</v>
      </c>
      <c r="R32" s="4">
        <v>750000</v>
      </c>
      <c r="S32" s="4">
        <v>0</v>
      </c>
      <c r="T32" s="4">
        <v>225083</v>
      </c>
      <c r="U32" s="24">
        <v>225083</v>
      </c>
      <c r="V32" s="4">
        <v>57254</v>
      </c>
      <c r="W32" s="11">
        <v>49218</v>
      </c>
      <c r="X32" s="64" t="s">
        <v>3856</v>
      </c>
      <c r="Y32" s="5" t="s">
        <v>3</v>
      </c>
      <c r="Z32" s="5" t="s">
        <v>4166</v>
      </c>
      <c r="AA32" s="5" t="s">
        <v>3</v>
      </c>
      <c r="AB32" s="16" t="s">
        <v>3</v>
      </c>
    </row>
    <row r="33" spans="2:28" x14ac:dyDescent="0.25">
      <c r="B33" s="18" t="s">
        <v>3479</v>
      </c>
      <c r="C33" s="44" t="s">
        <v>4411</v>
      </c>
      <c r="D33" s="20" t="s">
        <v>1118</v>
      </c>
      <c r="E33" s="51" t="s">
        <v>3</v>
      </c>
      <c r="F33" s="11">
        <v>44173</v>
      </c>
      <c r="G33" s="5" t="s">
        <v>1947</v>
      </c>
      <c r="H33" s="2"/>
      <c r="I33" s="4">
        <v>1760412</v>
      </c>
      <c r="J33" s="4">
        <v>1750000</v>
      </c>
      <c r="K33" s="4">
        <v>1750000</v>
      </c>
      <c r="L33" s="4">
        <v>1750000</v>
      </c>
      <c r="M33" s="4">
        <v>0</v>
      </c>
      <c r="N33" s="4">
        <v>0</v>
      </c>
      <c r="O33" s="4">
        <v>0</v>
      </c>
      <c r="P33" s="24">
        <v>0</v>
      </c>
      <c r="Q33" s="4">
        <v>0</v>
      </c>
      <c r="R33" s="4">
        <v>1750000</v>
      </c>
      <c r="S33" s="4">
        <v>0</v>
      </c>
      <c r="T33" s="4">
        <v>10413</v>
      </c>
      <c r="U33" s="24">
        <v>10413</v>
      </c>
      <c r="V33" s="4">
        <v>55639</v>
      </c>
      <c r="W33" s="11">
        <v>44287</v>
      </c>
      <c r="X33" s="64" t="s">
        <v>23</v>
      </c>
      <c r="Y33" s="5" t="s">
        <v>3</v>
      </c>
      <c r="Z33" s="5" t="s">
        <v>2398</v>
      </c>
      <c r="AA33" s="5" t="s">
        <v>3501</v>
      </c>
      <c r="AB33" s="16" t="s">
        <v>3</v>
      </c>
    </row>
    <row r="34" spans="2:28" x14ac:dyDescent="0.25">
      <c r="B34" s="18" t="s">
        <v>188</v>
      </c>
      <c r="C34" s="44" t="s">
        <v>3038</v>
      </c>
      <c r="D34" s="20" t="s">
        <v>261</v>
      </c>
      <c r="E34" s="51" t="s">
        <v>3</v>
      </c>
      <c r="F34" s="11">
        <v>44013</v>
      </c>
      <c r="G34" s="5" t="s">
        <v>848</v>
      </c>
      <c r="H34" s="2"/>
      <c r="I34" s="4">
        <v>3000000</v>
      </c>
      <c r="J34" s="4">
        <v>3000000</v>
      </c>
      <c r="K34" s="4">
        <v>3000000</v>
      </c>
      <c r="L34" s="4">
        <v>3000000</v>
      </c>
      <c r="M34" s="4">
        <v>0</v>
      </c>
      <c r="N34" s="4">
        <v>0</v>
      </c>
      <c r="O34" s="4">
        <v>0</v>
      </c>
      <c r="P34" s="24">
        <v>0</v>
      </c>
      <c r="Q34" s="4">
        <v>0</v>
      </c>
      <c r="R34" s="4">
        <v>3000000</v>
      </c>
      <c r="S34" s="4">
        <v>0</v>
      </c>
      <c r="T34" s="4">
        <v>0</v>
      </c>
      <c r="U34" s="24">
        <v>0</v>
      </c>
      <c r="V34" s="4">
        <v>82020</v>
      </c>
      <c r="W34" s="11">
        <v>44013</v>
      </c>
      <c r="X34" s="64" t="s">
        <v>23</v>
      </c>
      <c r="Y34" s="5" t="s">
        <v>3</v>
      </c>
      <c r="Z34" s="5" t="s">
        <v>561</v>
      </c>
      <c r="AA34" s="5" t="s">
        <v>561</v>
      </c>
      <c r="AB34" s="16" t="s">
        <v>3</v>
      </c>
    </row>
    <row r="35" spans="2:28" x14ac:dyDescent="0.25">
      <c r="B35" s="18" t="s">
        <v>1296</v>
      </c>
      <c r="C35" s="44" t="s">
        <v>2684</v>
      </c>
      <c r="D35" s="20" t="s">
        <v>2685</v>
      </c>
      <c r="E35" s="51" t="s">
        <v>3</v>
      </c>
      <c r="F35" s="11">
        <v>44173</v>
      </c>
      <c r="G35" s="5" t="s">
        <v>1947</v>
      </c>
      <c r="H35" s="2"/>
      <c r="I35" s="4">
        <v>171356</v>
      </c>
      <c r="J35" s="4">
        <v>140000</v>
      </c>
      <c r="K35" s="4">
        <v>140000</v>
      </c>
      <c r="L35" s="4">
        <v>140000</v>
      </c>
      <c r="M35" s="4">
        <v>0</v>
      </c>
      <c r="N35" s="4">
        <v>0</v>
      </c>
      <c r="O35" s="4">
        <v>0</v>
      </c>
      <c r="P35" s="24">
        <v>0</v>
      </c>
      <c r="Q35" s="4">
        <v>0</v>
      </c>
      <c r="R35" s="4">
        <v>140000</v>
      </c>
      <c r="S35" s="4">
        <v>0</v>
      </c>
      <c r="T35" s="4">
        <v>31356</v>
      </c>
      <c r="U35" s="24">
        <v>31356</v>
      </c>
      <c r="V35" s="4">
        <v>11682</v>
      </c>
      <c r="W35" s="11">
        <v>47300</v>
      </c>
      <c r="X35" s="64" t="s">
        <v>850</v>
      </c>
      <c r="Y35" s="5" t="s">
        <v>3</v>
      </c>
      <c r="Z35" s="5" t="s">
        <v>2685</v>
      </c>
      <c r="AA35" s="5" t="s">
        <v>3</v>
      </c>
      <c r="AB35" s="16" t="s">
        <v>3</v>
      </c>
    </row>
    <row r="36" spans="2:28" x14ac:dyDescent="0.25">
      <c r="B36" s="18" t="s">
        <v>2379</v>
      </c>
      <c r="C36" s="44" t="s">
        <v>2190</v>
      </c>
      <c r="D36" s="20" t="s">
        <v>2399</v>
      </c>
      <c r="E36" s="51" t="s">
        <v>3</v>
      </c>
      <c r="F36" s="11">
        <v>43839</v>
      </c>
      <c r="G36" s="5" t="s">
        <v>526</v>
      </c>
      <c r="H36" s="2"/>
      <c r="I36" s="4">
        <v>35000</v>
      </c>
      <c r="J36" s="4">
        <v>35000</v>
      </c>
      <c r="K36" s="4">
        <v>35002</v>
      </c>
      <c r="L36" s="4">
        <v>35000</v>
      </c>
      <c r="M36" s="4">
        <v>0</v>
      </c>
      <c r="N36" s="4">
        <v>0</v>
      </c>
      <c r="O36" s="4">
        <v>0</v>
      </c>
      <c r="P36" s="24">
        <v>0</v>
      </c>
      <c r="Q36" s="4">
        <v>0</v>
      </c>
      <c r="R36" s="4">
        <v>35000</v>
      </c>
      <c r="S36" s="4">
        <v>0</v>
      </c>
      <c r="T36" s="4">
        <v>0</v>
      </c>
      <c r="U36" s="24">
        <v>0</v>
      </c>
      <c r="V36" s="4">
        <v>128</v>
      </c>
      <c r="W36" s="11">
        <v>43997</v>
      </c>
      <c r="X36" s="64" t="s">
        <v>914</v>
      </c>
      <c r="Y36" s="5" t="s">
        <v>3</v>
      </c>
      <c r="Z36" s="5" t="s">
        <v>2399</v>
      </c>
      <c r="AA36" s="5" t="s">
        <v>3</v>
      </c>
      <c r="AB36" s="16" t="s">
        <v>3</v>
      </c>
    </row>
    <row r="37" spans="2:28" x14ac:dyDescent="0.25">
      <c r="B37" s="7" t="s">
        <v>2713</v>
      </c>
      <c r="C37" s="1" t="s">
        <v>2713</v>
      </c>
      <c r="D37" s="8" t="s">
        <v>2713</v>
      </c>
      <c r="E37" s="1" t="s">
        <v>2713</v>
      </c>
      <c r="F37" s="15" t="s">
        <v>2713</v>
      </c>
      <c r="G37" s="1" t="s">
        <v>2713</v>
      </c>
      <c r="H37" s="1" t="s">
        <v>2713</v>
      </c>
      <c r="I37" s="1" t="s">
        <v>2713</v>
      </c>
      <c r="J37" s="1" t="s">
        <v>2713</v>
      </c>
      <c r="K37" s="1" t="s">
        <v>2713</v>
      </c>
      <c r="L37" s="1" t="s">
        <v>2713</v>
      </c>
      <c r="M37" s="1" t="s">
        <v>2713</v>
      </c>
      <c r="N37" s="1" t="s">
        <v>2713</v>
      </c>
      <c r="O37" s="1" t="s">
        <v>2713</v>
      </c>
      <c r="P37" s="1" t="s">
        <v>2713</v>
      </c>
      <c r="Q37" s="1" t="s">
        <v>2713</v>
      </c>
      <c r="R37" s="1" t="s">
        <v>2713</v>
      </c>
      <c r="S37" s="1" t="s">
        <v>2713</v>
      </c>
      <c r="T37" s="1" t="s">
        <v>2713</v>
      </c>
      <c r="U37" s="1" t="s">
        <v>2713</v>
      </c>
      <c r="V37" s="1" t="s">
        <v>2713</v>
      </c>
      <c r="W37" s="15" t="s">
        <v>2713</v>
      </c>
      <c r="X37" s="1" t="s">
        <v>2713</v>
      </c>
      <c r="Y37" s="1" t="s">
        <v>2713</v>
      </c>
      <c r="Z37" s="1" t="s">
        <v>2713</v>
      </c>
      <c r="AA37" s="1" t="s">
        <v>2713</v>
      </c>
      <c r="AB37" s="1" t="s">
        <v>2713</v>
      </c>
    </row>
    <row r="38" spans="2:28" ht="27.6" x14ac:dyDescent="0.25">
      <c r="B38" s="21" t="s">
        <v>2453</v>
      </c>
      <c r="C38" s="19" t="s">
        <v>810</v>
      </c>
      <c r="D38" s="17"/>
      <c r="E38" s="2"/>
      <c r="F38" s="27"/>
      <c r="G38" s="2"/>
      <c r="H38" s="2"/>
      <c r="I38" s="3">
        <f>SUM('GMIC_2020-Annu_SCDPT4'!SCDPT4_31BEGIN_7:'GMIC_2020-Annu_SCDPT4'!SCDPT4_31ENDIN_7)</f>
        <v>9308846</v>
      </c>
      <c r="J38" s="3">
        <f>SUM('GMIC_2020-Annu_SCDPT4'!SCDPT4_31BEGIN_8:'GMIC_2020-Annu_SCDPT4'!SCDPT4_31ENDIN_8)</f>
        <v>9025000</v>
      </c>
      <c r="K38" s="3">
        <f>SUM('GMIC_2020-Annu_SCDPT4'!SCDPT4_31BEGIN_9:'GMIC_2020-Annu_SCDPT4'!SCDPT4_31ENDIN_9)</f>
        <v>9090332</v>
      </c>
      <c r="L38" s="3">
        <f>SUM('GMIC_2020-Annu_SCDPT4'!SCDPT4_31BEGIN_10:'GMIC_2020-Annu_SCDPT4'!SCDPT4_31ENDIN_10)</f>
        <v>9024689</v>
      </c>
      <c r="M38" s="3">
        <f>SUM('GMIC_2020-Annu_SCDPT4'!SCDPT4_31BEGIN_11:'GMIC_2020-Annu_SCDPT4'!SCDPT4_31ENDIN_11)</f>
        <v>0</v>
      </c>
      <c r="N38" s="3">
        <f>SUM('GMIC_2020-Annu_SCDPT4'!SCDPT4_31BEGIN_12:'GMIC_2020-Annu_SCDPT4'!SCDPT4_31ENDIN_12)</f>
        <v>311</v>
      </c>
      <c r="O38" s="3">
        <f>SUM('GMIC_2020-Annu_SCDPT4'!SCDPT4_31BEGIN_13:'GMIC_2020-Annu_SCDPT4'!SCDPT4_31ENDIN_13)</f>
        <v>0</v>
      </c>
      <c r="P38" s="3">
        <f>SUM('GMIC_2020-Annu_SCDPT4'!SCDPT4_31BEGIN_14:'GMIC_2020-Annu_SCDPT4'!SCDPT4_31ENDIN_14)</f>
        <v>311</v>
      </c>
      <c r="Q38" s="3">
        <f>SUM('GMIC_2020-Annu_SCDPT4'!SCDPT4_31BEGIN_15:'GMIC_2020-Annu_SCDPT4'!SCDPT4_31ENDIN_15)</f>
        <v>0</v>
      </c>
      <c r="R38" s="3">
        <f>SUM('GMIC_2020-Annu_SCDPT4'!SCDPT4_31BEGIN_16:'GMIC_2020-Annu_SCDPT4'!SCDPT4_31ENDIN_16)</f>
        <v>9025000</v>
      </c>
      <c r="S38" s="3">
        <f>SUM('GMIC_2020-Annu_SCDPT4'!SCDPT4_31BEGIN_17:'GMIC_2020-Annu_SCDPT4'!SCDPT4_31ENDIN_17)</f>
        <v>0</v>
      </c>
      <c r="T38" s="3">
        <f>SUM('GMIC_2020-Annu_SCDPT4'!SCDPT4_31BEGIN_18:'GMIC_2020-Annu_SCDPT4'!SCDPT4_31ENDIN_18)</f>
        <v>283847</v>
      </c>
      <c r="U38" s="3">
        <f>SUM('GMIC_2020-Annu_SCDPT4'!SCDPT4_31BEGIN_19:'GMIC_2020-Annu_SCDPT4'!SCDPT4_31ENDIN_19)</f>
        <v>283847</v>
      </c>
      <c r="V38" s="3">
        <f>SUM('GMIC_2020-Annu_SCDPT4'!SCDPT4_31BEGIN_20:'GMIC_2020-Annu_SCDPT4'!SCDPT4_31ENDIN_20)</f>
        <v>325360</v>
      </c>
      <c r="W38" s="27"/>
      <c r="X38" s="2"/>
      <c r="Y38" s="2"/>
      <c r="Z38" s="2"/>
      <c r="AA38" s="2"/>
      <c r="AB38" s="2"/>
    </row>
    <row r="39" spans="2:28" x14ac:dyDescent="0.25">
      <c r="B39" s="7" t="s">
        <v>2713</v>
      </c>
      <c r="C39" s="1" t="s">
        <v>2713</v>
      </c>
      <c r="D39" s="8" t="s">
        <v>2713</v>
      </c>
      <c r="E39" s="1" t="s">
        <v>2713</v>
      </c>
      <c r="F39" s="15" t="s">
        <v>2713</v>
      </c>
      <c r="G39" s="1" t="s">
        <v>2713</v>
      </c>
      <c r="H39" s="1" t="s">
        <v>2713</v>
      </c>
      <c r="I39" s="1" t="s">
        <v>2713</v>
      </c>
      <c r="J39" s="1" t="s">
        <v>2713</v>
      </c>
      <c r="K39" s="1" t="s">
        <v>2713</v>
      </c>
      <c r="L39" s="1" t="s">
        <v>2713</v>
      </c>
      <c r="M39" s="1" t="s">
        <v>2713</v>
      </c>
      <c r="N39" s="1" t="s">
        <v>2713</v>
      </c>
      <c r="O39" s="1" t="s">
        <v>2713</v>
      </c>
      <c r="P39" s="1" t="s">
        <v>2713</v>
      </c>
      <c r="Q39" s="1" t="s">
        <v>2713</v>
      </c>
      <c r="R39" s="1" t="s">
        <v>2713</v>
      </c>
      <c r="S39" s="1" t="s">
        <v>2713</v>
      </c>
      <c r="T39" s="1" t="s">
        <v>2713</v>
      </c>
      <c r="U39" s="1" t="s">
        <v>2713</v>
      </c>
      <c r="V39" s="1" t="s">
        <v>2713</v>
      </c>
      <c r="W39" s="15" t="s">
        <v>2713</v>
      </c>
      <c r="X39" s="1" t="s">
        <v>2713</v>
      </c>
      <c r="Y39" s="1" t="s">
        <v>2713</v>
      </c>
      <c r="Z39" s="1" t="s">
        <v>2713</v>
      </c>
      <c r="AA39" s="1" t="s">
        <v>2713</v>
      </c>
      <c r="AB39" s="1" t="s">
        <v>2713</v>
      </c>
    </row>
    <row r="40" spans="2:28" x14ac:dyDescent="0.25">
      <c r="B40" s="18" t="s">
        <v>1301</v>
      </c>
      <c r="C40" s="44" t="s">
        <v>208</v>
      </c>
      <c r="D40" s="20" t="s">
        <v>3805</v>
      </c>
      <c r="E40" s="22" t="s">
        <v>3</v>
      </c>
      <c r="F40" s="11">
        <v>43850</v>
      </c>
      <c r="G40" s="5" t="s">
        <v>2686</v>
      </c>
      <c r="H40" s="2"/>
      <c r="I40" s="4">
        <v>1552361</v>
      </c>
      <c r="J40" s="4">
        <v>1552361</v>
      </c>
      <c r="K40" s="4">
        <v>1552149</v>
      </c>
      <c r="L40" s="4">
        <v>1552294</v>
      </c>
      <c r="M40" s="4">
        <v>0</v>
      </c>
      <c r="N40" s="4">
        <v>68</v>
      </c>
      <c r="O40" s="4">
        <v>0</v>
      </c>
      <c r="P40" s="3">
        <f>'GMIC_2020-Annu_SCDPT4'!SCDPT4_3800001_11+'GMIC_2020-Annu_SCDPT4'!SCDPT4_3800001_12-'GMIC_2020-Annu_SCDPT4'!SCDPT4_3800001_13</f>
        <v>68</v>
      </c>
      <c r="Q40" s="4">
        <v>0</v>
      </c>
      <c r="R40" s="4">
        <v>1552361</v>
      </c>
      <c r="S40" s="4">
        <v>0</v>
      </c>
      <c r="T40" s="4">
        <v>0</v>
      </c>
      <c r="U40" s="3">
        <f>'GMIC_2020-Annu_SCDPT4'!SCDPT4_3800001_17+'GMIC_2020-Annu_SCDPT4'!SCDPT4_3800001_18</f>
        <v>0</v>
      </c>
      <c r="V40" s="4">
        <v>3493</v>
      </c>
      <c r="W40" s="11">
        <v>44640</v>
      </c>
      <c r="X40" s="2"/>
      <c r="Y40" s="5" t="s">
        <v>3</v>
      </c>
      <c r="Z40" s="5" t="s">
        <v>2400</v>
      </c>
      <c r="AA40" s="5" t="s">
        <v>2400</v>
      </c>
      <c r="AB40" s="16" t="s">
        <v>3</v>
      </c>
    </row>
    <row r="41" spans="2:28" x14ac:dyDescent="0.25">
      <c r="B41" s="18" t="s">
        <v>2384</v>
      </c>
      <c r="C41" s="44" t="s">
        <v>1315</v>
      </c>
      <c r="D41" s="20" t="s">
        <v>3806</v>
      </c>
      <c r="E41" s="51" t="s">
        <v>3</v>
      </c>
      <c r="F41" s="11">
        <v>44154</v>
      </c>
      <c r="G41" s="5" t="s">
        <v>4396</v>
      </c>
      <c r="H41" s="2"/>
      <c r="I41" s="4">
        <v>6992751</v>
      </c>
      <c r="J41" s="4">
        <v>7000000</v>
      </c>
      <c r="K41" s="4">
        <v>6991670</v>
      </c>
      <c r="L41" s="4">
        <v>6991790</v>
      </c>
      <c r="M41" s="4">
        <v>0</v>
      </c>
      <c r="N41" s="4">
        <v>961</v>
      </c>
      <c r="O41" s="4">
        <v>0</v>
      </c>
      <c r="P41" s="24">
        <v>961</v>
      </c>
      <c r="Q41" s="4">
        <v>0</v>
      </c>
      <c r="R41" s="4">
        <v>6992751</v>
      </c>
      <c r="S41" s="4">
        <v>0</v>
      </c>
      <c r="T41" s="4">
        <v>0</v>
      </c>
      <c r="U41" s="24">
        <v>0</v>
      </c>
      <c r="V41" s="4">
        <v>206500</v>
      </c>
      <c r="W41" s="11">
        <v>46347</v>
      </c>
      <c r="X41" s="2"/>
      <c r="Y41" s="5" t="s">
        <v>1178</v>
      </c>
      <c r="Z41" s="5" t="s">
        <v>1650</v>
      </c>
      <c r="AA41" s="5" t="s">
        <v>928</v>
      </c>
      <c r="AB41" s="16" t="s">
        <v>3</v>
      </c>
    </row>
    <row r="42" spans="2:28" x14ac:dyDescent="0.25">
      <c r="B42" s="18" t="s">
        <v>3485</v>
      </c>
      <c r="C42" s="44" t="s">
        <v>209</v>
      </c>
      <c r="D42" s="20" t="s">
        <v>1119</v>
      </c>
      <c r="E42" s="51" t="s">
        <v>3</v>
      </c>
      <c r="F42" s="11">
        <v>44078</v>
      </c>
      <c r="G42" s="5" t="s">
        <v>1104</v>
      </c>
      <c r="H42" s="2"/>
      <c r="I42" s="4">
        <v>5093088</v>
      </c>
      <c r="J42" s="4">
        <v>5000000</v>
      </c>
      <c r="K42" s="4">
        <v>4983130</v>
      </c>
      <c r="L42" s="4">
        <v>4989443</v>
      </c>
      <c r="M42" s="4">
        <v>0</v>
      </c>
      <c r="N42" s="4">
        <v>10556.65</v>
      </c>
      <c r="O42" s="4">
        <v>0</v>
      </c>
      <c r="P42" s="24">
        <v>10556.65</v>
      </c>
      <c r="Q42" s="4">
        <v>0</v>
      </c>
      <c r="R42" s="4">
        <v>5093088</v>
      </c>
      <c r="S42" s="4">
        <v>0</v>
      </c>
      <c r="T42" s="4">
        <v>0</v>
      </c>
      <c r="U42" s="24">
        <v>0</v>
      </c>
      <c r="V42" s="4">
        <v>204574.35</v>
      </c>
      <c r="W42" s="11">
        <v>44454</v>
      </c>
      <c r="X42" s="2"/>
      <c r="Y42" s="5" t="s">
        <v>3807</v>
      </c>
      <c r="Z42" s="5" t="s">
        <v>1119</v>
      </c>
      <c r="AA42" s="5" t="s">
        <v>3</v>
      </c>
      <c r="AB42" s="16" t="s">
        <v>3</v>
      </c>
    </row>
    <row r="43" spans="2:28" x14ac:dyDescent="0.25">
      <c r="B43" s="18" t="s">
        <v>478</v>
      </c>
      <c r="C43" s="44" t="s">
        <v>4412</v>
      </c>
      <c r="D43" s="20" t="s">
        <v>528</v>
      </c>
      <c r="E43" s="51" t="s">
        <v>3</v>
      </c>
      <c r="F43" s="11">
        <v>44180</v>
      </c>
      <c r="G43" s="5" t="s">
        <v>848</v>
      </c>
      <c r="H43" s="2"/>
      <c r="I43" s="4">
        <v>1340000</v>
      </c>
      <c r="J43" s="4">
        <v>1340000</v>
      </c>
      <c r="K43" s="4">
        <v>1382197</v>
      </c>
      <c r="L43" s="4">
        <v>1345074</v>
      </c>
      <c r="M43" s="4">
        <v>0</v>
      </c>
      <c r="N43" s="4">
        <v>-5074</v>
      </c>
      <c r="O43" s="4">
        <v>0</v>
      </c>
      <c r="P43" s="24">
        <v>-5074</v>
      </c>
      <c r="Q43" s="4">
        <v>0</v>
      </c>
      <c r="R43" s="4">
        <v>1340000</v>
      </c>
      <c r="S43" s="4">
        <v>0</v>
      </c>
      <c r="T43" s="4">
        <v>0</v>
      </c>
      <c r="U43" s="24">
        <v>0</v>
      </c>
      <c r="V43" s="4">
        <v>77050</v>
      </c>
      <c r="W43" s="11">
        <v>44180</v>
      </c>
      <c r="X43" s="2"/>
      <c r="Y43" s="5" t="s">
        <v>2401</v>
      </c>
      <c r="Z43" s="5" t="s">
        <v>2191</v>
      </c>
      <c r="AA43" s="5" t="s">
        <v>3</v>
      </c>
      <c r="AB43" s="16" t="s">
        <v>3</v>
      </c>
    </row>
    <row r="44" spans="2:28" x14ac:dyDescent="0.25">
      <c r="B44" s="18" t="s">
        <v>1551</v>
      </c>
      <c r="C44" s="44" t="s">
        <v>4167</v>
      </c>
      <c r="D44" s="20" t="s">
        <v>210</v>
      </c>
      <c r="E44" s="51" t="s">
        <v>3</v>
      </c>
      <c r="F44" s="11">
        <v>44013</v>
      </c>
      <c r="G44" s="5" t="s">
        <v>4397</v>
      </c>
      <c r="H44" s="2"/>
      <c r="I44" s="4">
        <v>4996000</v>
      </c>
      <c r="J44" s="4">
        <v>5000000</v>
      </c>
      <c r="K44" s="4">
        <v>4935850</v>
      </c>
      <c r="L44" s="4">
        <v>4952120</v>
      </c>
      <c r="M44" s="4">
        <v>0</v>
      </c>
      <c r="N44" s="4">
        <v>4297</v>
      </c>
      <c r="O44" s="4">
        <v>0</v>
      </c>
      <c r="P44" s="24">
        <v>4297</v>
      </c>
      <c r="Q44" s="4">
        <v>0</v>
      </c>
      <c r="R44" s="4">
        <v>4956417</v>
      </c>
      <c r="S44" s="4">
        <v>0</v>
      </c>
      <c r="T44" s="4">
        <v>39583</v>
      </c>
      <c r="U44" s="24">
        <v>39583</v>
      </c>
      <c r="V44" s="4">
        <v>135868</v>
      </c>
      <c r="W44" s="11">
        <v>45717</v>
      </c>
      <c r="X44" s="2"/>
      <c r="Y44" s="5" t="s">
        <v>3</v>
      </c>
      <c r="Z44" s="5" t="s">
        <v>1598</v>
      </c>
      <c r="AA44" s="5" t="s">
        <v>3</v>
      </c>
      <c r="AB44" s="16" t="s">
        <v>3</v>
      </c>
    </row>
    <row r="45" spans="2:28" x14ac:dyDescent="0.25">
      <c r="B45" s="18" t="s">
        <v>2640</v>
      </c>
      <c r="C45" s="44" t="s">
        <v>1948</v>
      </c>
      <c r="D45" s="20" t="s">
        <v>3808</v>
      </c>
      <c r="E45" s="51" t="s">
        <v>3</v>
      </c>
      <c r="F45" s="11">
        <v>44012</v>
      </c>
      <c r="G45" s="5" t="s">
        <v>4397</v>
      </c>
      <c r="H45" s="2"/>
      <c r="I45" s="4">
        <v>3030000</v>
      </c>
      <c r="J45" s="4">
        <v>3000000</v>
      </c>
      <c r="K45" s="4">
        <v>2965500</v>
      </c>
      <c r="L45" s="4">
        <v>2968143</v>
      </c>
      <c r="M45" s="4">
        <v>0</v>
      </c>
      <c r="N45" s="4">
        <v>2219</v>
      </c>
      <c r="O45" s="4">
        <v>0</v>
      </c>
      <c r="P45" s="24">
        <v>2219</v>
      </c>
      <c r="Q45" s="4">
        <v>0</v>
      </c>
      <c r="R45" s="4">
        <v>2970362</v>
      </c>
      <c r="S45" s="4">
        <v>0</v>
      </c>
      <c r="T45" s="4">
        <v>59638</v>
      </c>
      <c r="U45" s="24">
        <v>59638</v>
      </c>
      <c r="V45" s="4">
        <v>65938</v>
      </c>
      <c r="W45" s="11">
        <v>46174</v>
      </c>
      <c r="X45" s="2"/>
      <c r="Y45" s="5" t="s">
        <v>3</v>
      </c>
      <c r="Z45" s="5" t="s">
        <v>1598</v>
      </c>
      <c r="AA45" s="5" t="s">
        <v>3</v>
      </c>
      <c r="AB45" s="16" t="s">
        <v>3</v>
      </c>
    </row>
    <row r="46" spans="2:28" x14ac:dyDescent="0.25">
      <c r="B46" s="18" t="s">
        <v>3756</v>
      </c>
      <c r="C46" s="44" t="s">
        <v>2192</v>
      </c>
      <c r="D46" s="20" t="s">
        <v>1120</v>
      </c>
      <c r="E46" s="51" t="s">
        <v>3</v>
      </c>
      <c r="F46" s="11">
        <v>44187</v>
      </c>
      <c r="G46" s="5" t="s">
        <v>1599</v>
      </c>
      <c r="H46" s="2"/>
      <c r="I46" s="4">
        <v>1113120</v>
      </c>
      <c r="J46" s="4">
        <v>1000000</v>
      </c>
      <c r="K46" s="4">
        <v>1049020</v>
      </c>
      <c r="L46" s="4">
        <v>1029707</v>
      </c>
      <c r="M46" s="4">
        <v>0</v>
      </c>
      <c r="N46" s="4">
        <v>-29707</v>
      </c>
      <c r="O46" s="4">
        <v>0</v>
      </c>
      <c r="P46" s="24">
        <v>-29707</v>
      </c>
      <c r="Q46" s="4">
        <v>0</v>
      </c>
      <c r="R46" s="4">
        <v>1113120</v>
      </c>
      <c r="S46" s="4">
        <v>0</v>
      </c>
      <c r="T46" s="4">
        <v>0</v>
      </c>
      <c r="U46" s="24">
        <v>0</v>
      </c>
      <c r="V46" s="4">
        <v>165538</v>
      </c>
      <c r="W46" s="11">
        <v>45488</v>
      </c>
      <c r="X46" s="2"/>
      <c r="Y46" s="5" t="s">
        <v>3502</v>
      </c>
      <c r="Z46" s="5" t="s">
        <v>211</v>
      </c>
      <c r="AA46" s="5" t="s">
        <v>3</v>
      </c>
      <c r="AB46" s="16" t="s">
        <v>3</v>
      </c>
    </row>
    <row r="47" spans="2:28" x14ac:dyDescent="0.25">
      <c r="B47" s="18" t="s">
        <v>479</v>
      </c>
      <c r="C47" s="44" t="s">
        <v>3039</v>
      </c>
      <c r="D47" s="20" t="s">
        <v>144</v>
      </c>
      <c r="E47" s="51" t="s">
        <v>3</v>
      </c>
      <c r="F47" s="11">
        <v>44119</v>
      </c>
      <c r="G47" s="5" t="s">
        <v>2686</v>
      </c>
      <c r="H47" s="2"/>
      <c r="I47" s="4">
        <v>3500000</v>
      </c>
      <c r="J47" s="4">
        <v>3500000</v>
      </c>
      <c r="K47" s="4">
        <v>3499346</v>
      </c>
      <c r="L47" s="4">
        <v>3499744</v>
      </c>
      <c r="M47" s="4">
        <v>0</v>
      </c>
      <c r="N47" s="4">
        <v>256</v>
      </c>
      <c r="O47" s="4">
        <v>0</v>
      </c>
      <c r="P47" s="24">
        <v>256</v>
      </c>
      <c r="Q47" s="4">
        <v>0</v>
      </c>
      <c r="R47" s="4">
        <v>3500000</v>
      </c>
      <c r="S47" s="4">
        <v>0</v>
      </c>
      <c r="T47" s="4">
        <v>0</v>
      </c>
      <c r="U47" s="24">
        <v>0</v>
      </c>
      <c r="V47" s="4">
        <v>88083</v>
      </c>
      <c r="W47" s="11">
        <v>45184</v>
      </c>
      <c r="X47" s="2"/>
      <c r="Y47" s="5" t="s">
        <v>3</v>
      </c>
      <c r="Z47" s="5" t="s">
        <v>1065</v>
      </c>
      <c r="AA47" s="5" t="s">
        <v>1065</v>
      </c>
      <c r="AB47" s="16" t="s">
        <v>3</v>
      </c>
    </row>
    <row r="48" spans="2:28" x14ac:dyDescent="0.25">
      <c r="B48" s="18" t="s">
        <v>1553</v>
      </c>
      <c r="C48" s="44" t="s">
        <v>529</v>
      </c>
      <c r="D48" s="20" t="s">
        <v>212</v>
      </c>
      <c r="E48" s="51" t="s">
        <v>3</v>
      </c>
      <c r="F48" s="11">
        <v>43944</v>
      </c>
      <c r="G48" s="5" t="s">
        <v>4396</v>
      </c>
      <c r="H48" s="2"/>
      <c r="I48" s="4">
        <v>3314490</v>
      </c>
      <c r="J48" s="4">
        <v>3425000</v>
      </c>
      <c r="K48" s="4">
        <v>3300944</v>
      </c>
      <c r="L48" s="4">
        <v>3309513</v>
      </c>
      <c r="M48" s="4">
        <v>0</v>
      </c>
      <c r="N48" s="4">
        <v>4977</v>
      </c>
      <c r="O48" s="4">
        <v>0</v>
      </c>
      <c r="P48" s="24">
        <v>4977</v>
      </c>
      <c r="Q48" s="4">
        <v>0</v>
      </c>
      <c r="R48" s="4">
        <v>3314490</v>
      </c>
      <c r="S48" s="4">
        <v>0</v>
      </c>
      <c r="T48" s="4">
        <v>0</v>
      </c>
      <c r="U48" s="24">
        <v>0</v>
      </c>
      <c r="V48" s="4">
        <v>0</v>
      </c>
      <c r="W48" s="11">
        <v>46140</v>
      </c>
      <c r="X48" s="2"/>
      <c r="Y48" s="5" t="s">
        <v>1121</v>
      </c>
      <c r="Z48" s="5" t="s">
        <v>851</v>
      </c>
      <c r="AA48" s="5" t="s">
        <v>928</v>
      </c>
      <c r="AB48" s="16" t="s">
        <v>3</v>
      </c>
    </row>
    <row r="49" spans="2:28" x14ac:dyDescent="0.25">
      <c r="B49" s="18" t="s">
        <v>3486</v>
      </c>
      <c r="C49" s="44" t="s">
        <v>3685</v>
      </c>
      <c r="D49" s="20" t="s">
        <v>4349</v>
      </c>
      <c r="E49" s="51" t="s">
        <v>3</v>
      </c>
      <c r="F49" s="11">
        <v>44119</v>
      </c>
      <c r="G49" s="5" t="s">
        <v>1104</v>
      </c>
      <c r="H49" s="2"/>
      <c r="I49" s="4">
        <v>450036</v>
      </c>
      <c r="J49" s="4">
        <v>450036</v>
      </c>
      <c r="K49" s="4">
        <v>441525</v>
      </c>
      <c r="L49" s="4">
        <v>442318</v>
      </c>
      <c r="M49" s="4">
        <v>0</v>
      </c>
      <c r="N49" s="4">
        <v>7718</v>
      </c>
      <c r="O49" s="4">
        <v>0</v>
      </c>
      <c r="P49" s="24">
        <v>7718</v>
      </c>
      <c r="Q49" s="4">
        <v>0</v>
      </c>
      <c r="R49" s="4">
        <v>450036</v>
      </c>
      <c r="S49" s="4">
        <v>0</v>
      </c>
      <c r="T49" s="4">
        <v>0</v>
      </c>
      <c r="U49" s="24">
        <v>0</v>
      </c>
      <c r="V49" s="4">
        <v>10121</v>
      </c>
      <c r="W49" s="11">
        <v>47041</v>
      </c>
      <c r="X49" s="2"/>
      <c r="Y49" s="5" t="s">
        <v>3</v>
      </c>
      <c r="Z49" s="5" t="s">
        <v>3221</v>
      </c>
      <c r="AA49" s="5" t="s">
        <v>3221</v>
      </c>
      <c r="AB49" s="16" t="s">
        <v>3</v>
      </c>
    </row>
    <row r="50" spans="2:28" x14ac:dyDescent="0.25">
      <c r="B50" s="18" t="s">
        <v>195</v>
      </c>
      <c r="C50" s="44" t="s">
        <v>3040</v>
      </c>
      <c r="D50" s="20" t="s">
        <v>4413</v>
      </c>
      <c r="E50" s="51" t="s">
        <v>3</v>
      </c>
      <c r="F50" s="11">
        <v>44109</v>
      </c>
      <c r="G50" s="5" t="s">
        <v>2687</v>
      </c>
      <c r="H50" s="2"/>
      <c r="I50" s="4">
        <v>2151728</v>
      </c>
      <c r="J50" s="4">
        <v>2723705</v>
      </c>
      <c r="K50" s="4">
        <v>2263960</v>
      </c>
      <c r="L50" s="4">
        <v>2769696</v>
      </c>
      <c r="M50" s="4">
        <v>0</v>
      </c>
      <c r="N50" s="4">
        <v>-4926</v>
      </c>
      <c r="O50" s="4">
        <v>500810</v>
      </c>
      <c r="P50" s="24">
        <v>-505736</v>
      </c>
      <c r="Q50" s="4">
        <v>0</v>
      </c>
      <c r="R50" s="4">
        <v>2263960</v>
      </c>
      <c r="S50" s="4">
        <v>0</v>
      </c>
      <c r="T50" s="4">
        <v>-112233</v>
      </c>
      <c r="U50" s="24">
        <v>-112233</v>
      </c>
      <c r="V50" s="4">
        <v>133764</v>
      </c>
      <c r="W50" s="11">
        <v>45853</v>
      </c>
      <c r="X50" s="2"/>
      <c r="Y50" s="5" t="s">
        <v>3</v>
      </c>
      <c r="Z50" s="5" t="s">
        <v>213</v>
      </c>
      <c r="AA50" s="5" t="s">
        <v>2193</v>
      </c>
      <c r="AB50" s="16" t="s">
        <v>3</v>
      </c>
    </row>
    <row r="51" spans="2:28" x14ac:dyDescent="0.25">
      <c r="B51" s="18" t="s">
        <v>1554</v>
      </c>
      <c r="C51" s="44" t="s">
        <v>3040</v>
      </c>
      <c r="D51" s="20" t="s">
        <v>4413</v>
      </c>
      <c r="E51" s="51" t="s">
        <v>3</v>
      </c>
      <c r="F51" s="11">
        <v>44027</v>
      </c>
      <c r="G51" s="5" t="s">
        <v>2194</v>
      </c>
      <c r="H51" s="2"/>
      <c r="I51" s="4">
        <v>188137</v>
      </c>
      <c r="J51" s="4">
        <v>188137</v>
      </c>
      <c r="K51" s="4">
        <v>193217</v>
      </c>
      <c r="L51" s="4">
        <v>191314</v>
      </c>
      <c r="M51" s="4">
        <v>0</v>
      </c>
      <c r="N51" s="4">
        <v>-3177</v>
      </c>
      <c r="O51" s="4">
        <v>0</v>
      </c>
      <c r="P51" s="24">
        <v>-3177</v>
      </c>
      <c r="Q51" s="4">
        <v>0</v>
      </c>
      <c r="R51" s="4">
        <v>188137</v>
      </c>
      <c r="S51" s="4">
        <v>0</v>
      </c>
      <c r="T51" s="4">
        <v>0</v>
      </c>
      <c r="U51" s="24">
        <v>0</v>
      </c>
      <c r="V51" s="4">
        <v>5629</v>
      </c>
      <c r="W51" s="11">
        <v>45853</v>
      </c>
      <c r="X51" s="2"/>
      <c r="Y51" s="5" t="s">
        <v>3</v>
      </c>
      <c r="Z51" s="5" t="s">
        <v>213</v>
      </c>
      <c r="AA51" s="5" t="s">
        <v>2193</v>
      </c>
      <c r="AB51" s="16" t="s">
        <v>3</v>
      </c>
    </row>
    <row r="52" spans="2:28" x14ac:dyDescent="0.25">
      <c r="B52" s="18" t="s">
        <v>2641</v>
      </c>
      <c r="C52" s="44" t="s">
        <v>4168</v>
      </c>
      <c r="D52" s="20" t="s">
        <v>3041</v>
      </c>
      <c r="E52" s="51" t="s">
        <v>3</v>
      </c>
      <c r="F52" s="11">
        <v>44125</v>
      </c>
      <c r="G52" s="5" t="s">
        <v>198</v>
      </c>
      <c r="H52" s="2"/>
      <c r="I52" s="4">
        <v>1985778</v>
      </c>
      <c r="J52" s="4">
        <v>2898946</v>
      </c>
      <c r="K52" s="4">
        <v>2898946</v>
      </c>
      <c r="L52" s="4">
        <v>2898946</v>
      </c>
      <c r="M52" s="4">
        <v>0</v>
      </c>
      <c r="N52" s="4">
        <v>0</v>
      </c>
      <c r="O52" s="4">
        <v>0</v>
      </c>
      <c r="P52" s="24">
        <v>0</v>
      </c>
      <c r="Q52" s="4">
        <v>0</v>
      </c>
      <c r="R52" s="4">
        <v>2898946</v>
      </c>
      <c r="S52" s="4">
        <v>0</v>
      </c>
      <c r="T52" s="4">
        <v>-913168</v>
      </c>
      <c r="U52" s="24">
        <v>-913168</v>
      </c>
      <c r="V52" s="4">
        <v>138537</v>
      </c>
      <c r="W52" s="11">
        <v>45191</v>
      </c>
      <c r="X52" s="2"/>
      <c r="Y52" s="5" t="s">
        <v>3</v>
      </c>
      <c r="Z52" s="5" t="s">
        <v>214</v>
      </c>
      <c r="AA52" s="5" t="s">
        <v>1949</v>
      </c>
      <c r="AB52" s="16" t="s">
        <v>3</v>
      </c>
    </row>
    <row r="53" spans="2:28" x14ac:dyDescent="0.25">
      <c r="B53" s="18" t="s">
        <v>3757</v>
      </c>
      <c r="C53" s="44" t="s">
        <v>4168</v>
      </c>
      <c r="D53" s="20" t="s">
        <v>3041</v>
      </c>
      <c r="E53" s="51" t="s">
        <v>3</v>
      </c>
      <c r="F53" s="11">
        <v>44096</v>
      </c>
      <c r="G53" s="5" t="s">
        <v>2194</v>
      </c>
      <c r="H53" s="2"/>
      <c r="I53" s="4">
        <v>361469</v>
      </c>
      <c r="J53" s="4">
        <v>361469</v>
      </c>
      <c r="K53" s="4">
        <v>361469</v>
      </c>
      <c r="L53" s="4">
        <v>361469</v>
      </c>
      <c r="M53" s="4">
        <v>0</v>
      </c>
      <c r="N53" s="4">
        <v>0</v>
      </c>
      <c r="O53" s="4">
        <v>0</v>
      </c>
      <c r="P53" s="24">
        <v>0</v>
      </c>
      <c r="Q53" s="4">
        <v>0</v>
      </c>
      <c r="R53" s="4">
        <v>361469</v>
      </c>
      <c r="S53" s="4">
        <v>0</v>
      </c>
      <c r="T53" s="4">
        <v>0</v>
      </c>
      <c r="U53" s="24">
        <v>0</v>
      </c>
      <c r="V53" s="4">
        <v>11189</v>
      </c>
      <c r="W53" s="11">
        <v>45191</v>
      </c>
      <c r="X53" s="2"/>
      <c r="Y53" s="5" t="s">
        <v>3</v>
      </c>
      <c r="Z53" s="5" t="s">
        <v>214</v>
      </c>
      <c r="AA53" s="5" t="s">
        <v>1949</v>
      </c>
      <c r="AB53" s="16" t="s">
        <v>3</v>
      </c>
    </row>
    <row r="54" spans="2:28" x14ac:dyDescent="0.25">
      <c r="B54" s="18" t="s">
        <v>481</v>
      </c>
      <c r="C54" s="44" t="s">
        <v>530</v>
      </c>
      <c r="D54" s="20" t="s">
        <v>3809</v>
      </c>
      <c r="E54" s="51" t="s">
        <v>3</v>
      </c>
      <c r="F54" s="11">
        <v>43980</v>
      </c>
      <c r="G54" s="5" t="s">
        <v>191</v>
      </c>
      <c r="H54" s="2"/>
      <c r="I54" s="4">
        <v>13714249</v>
      </c>
      <c r="J54" s="4">
        <v>13718000</v>
      </c>
      <c r="K54" s="4">
        <v>13713510</v>
      </c>
      <c r="L54" s="4">
        <v>13713549</v>
      </c>
      <c r="M54" s="4">
        <v>0</v>
      </c>
      <c r="N54" s="4">
        <v>553</v>
      </c>
      <c r="O54" s="4">
        <v>0</v>
      </c>
      <c r="P54" s="24">
        <v>553</v>
      </c>
      <c r="Q54" s="4">
        <v>0</v>
      </c>
      <c r="R54" s="4">
        <v>13714102</v>
      </c>
      <c r="S54" s="4">
        <v>0</v>
      </c>
      <c r="T54" s="4">
        <v>147</v>
      </c>
      <c r="U54" s="24">
        <v>147</v>
      </c>
      <c r="V54" s="4">
        <v>99184</v>
      </c>
      <c r="W54" s="11">
        <v>46006</v>
      </c>
      <c r="X54" s="2"/>
      <c r="Y54" s="5" t="s">
        <v>3</v>
      </c>
      <c r="Z54" s="5" t="s">
        <v>852</v>
      </c>
      <c r="AA54" s="5" t="s">
        <v>1600</v>
      </c>
      <c r="AB54" s="16" t="s">
        <v>3</v>
      </c>
    </row>
    <row r="55" spans="2:28" x14ac:dyDescent="0.25">
      <c r="B55" s="18" t="s">
        <v>1555</v>
      </c>
      <c r="C55" s="44" t="s">
        <v>3810</v>
      </c>
      <c r="D55" s="20" t="s">
        <v>3503</v>
      </c>
      <c r="E55" s="51" t="s">
        <v>3</v>
      </c>
      <c r="F55" s="11">
        <v>43978</v>
      </c>
      <c r="G55" s="5" t="s">
        <v>2994</v>
      </c>
      <c r="H55" s="2"/>
      <c r="I55" s="4">
        <v>21158263</v>
      </c>
      <c r="J55" s="4">
        <v>21150000</v>
      </c>
      <c r="K55" s="4">
        <v>21173133</v>
      </c>
      <c r="L55" s="4">
        <v>21172699</v>
      </c>
      <c r="M55" s="4">
        <v>0</v>
      </c>
      <c r="N55" s="4">
        <v>-5418</v>
      </c>
      <c r="O55" s="4">
        <v>0</v>
      </c>
      <c r="P55" s="24">
        <v>-5418</v>
      </c>
      <c r="Q55" s="4">
        <v>0</v>
      </c>
      <c r="R55" s="4">
        <v>21167281</v>
      </c>
      <c r="S55" s="4">
        <v>0</v>
      </c>
      <c r="T55" s="4">
        <v>-9020</v>
      </c>
      <c r="U55" s="24">
        <v>-9020</v>
      </c>
      <c r="V55" s="4">
        <v>141995</v>
      </c>
      <c r="W55" s="11">
        <v>45397</v>
      </c>
      <c r="X55" s="2"/>
      <c r="Y55" s="5" t="s">
        <v>3</v>
      </c>
      <c r="Z55" s="5" t="s">
        <v>852</v>
      </c>
      <c r="AA55" s="5" t="s">
        <v>852</v>
      </c>
      <c r="AB55" s="16" t="s">
        <v>3</v>
      </c>
    </row>
    <row r="56" spans="2:28" x14ac:dyDescent="0.25">
      <c r="B56" s="18" t="s">
        <v>2642</v>
      </c>
      <c r="C56" s="44" t="s">
        <v>1601</v>
      </c>
      <c r="D56" s="20" t="s">
        <v>1122</v>
      </c>
      <c r="E56" s="51" t="s">
        <v>3</v>
      </c>
      <c r="F56" s="11">
        <v>43948</v>
      </c>
      <c r="G56" s="5" t="s">
        <v>526</v>
      </c>
      <c r="H56" s="2"/>
      <c r="I56" s="4">
        <v>5000000</v>
      </c>
      <c r="J56" s="4">
        <v>5000000</v>
      </c>
      <c r="K56" s="4">
        <v>4995100</v>
      </c>
      <c r="L56" s="4">
        <v>4999584</v>
      </c>
      <c r="M56" s="4">
        <v>0</v>
      </c>
      <c r="N56" s="4">
        <v>416</v>
      </c>
      <c r="O56" s="4">
        <v>0</v>
      </c>
      <c r="P56" s="24">
        <v>416</v>
      </c>
      <c r="Q56" s="4">
        <v>0</v>
      </c>
      <c r="R56" s="4">
        <v>5000000</v>
      </c>
      <c r="S56" s="4">
        <v>0</v>
      </c>
      <c r="T56" s="4">
        <v>0</v>
      </c>
      <c r="U56" s="24">
        <v>0</v>
      </c>
      <c r="V56" s="4">
        <v>49479</v>
      </c>
      <c r="W56" s="11">
        <v>43977</v>
      </c>
      <c r="X56" s="2"/>
      <c r="Y56" s="5" t="s">
        <v>1602</v>
      </c>
      <c r="Z56" s="5" t="s">
        <v>3278</v>
      </c>
      <c r="AA56" s="5" t="s">
        <v>3279</v>
      </c>
      <c r="AB56" s="16" t="s">
        <v>3</v>
      </c>
    </row>
    <row r="57" spans="2:28" x14ac:dyDescent="0.25">
      <c r="B57" s="18" t="s">
        <v>3758</v>
      </c>
      <c r="C57" s="44" t="s">
        <v>853</v>
      </c>
      <c r="D57" s="20" t="s">
        <v>4414</v>
      </c>
      <c r="E57" s="51" t="s">
        <v>3</v>
      </c>
      <c r="F57" s="11">
        <v>44095</v>
      </c>
      <c r="G57" s="5" t="s">
        <v>848</v>
      </c>
      <c r="H57" s="2"/>
      <c r="I57" s="4">
        <v>7000000</v>
      </c>
      <c r="J57" s="4">
        <v>7000000</v>
      </c>
      <c r="K57" s="4">
        <v>7122010</v>
      </c>
      <c r="L57" s="4">
        <v>7059952</v>
      </c>
      <c r="M57" s="4">
        <v>0</v>
      </c>
      <c r="N57" s="4">
        <v>-59952</v>
      </c>
      <c r="O57" s="4">
        <v>0</v>
      </c>
      <c r="P57" s="24">
        <v>-59952</v>
      </c>
      <c r="Q57" s="4">
        <v>0</v>
      </c>
      <c r="R57" s="4">
        <v>7000000</v>
      </c>
      <c r="S57" s="4">
        <v>0</v>
      </c>
      <c r="T57" s="4">
        <v>0</v>
      </c>
      <c r="U57" s="24">
        <v>0</v>
      </c>
      <c r="V57" s="4">
        <v>271250</v>
      </c>
      <c r="W57" s="11">
        <v>44095</v>
      </c>
      <c r="X57" s="2"/>
      <c r="Y57" s="5" t="s">
        <v>1368</v>
      </c>
      <c r="Z57" s="5" t="s">
        <v>1655</v>
      </c>
      <c r="AA57" s="5" t="s">
        <v>2910</v>
      </c>
      <c r="AB57" s="16" t="s">
        <v>3</v>
      </c>
    </row>
    <row r="58" spans="2:28" x14ac:dyDescent="0.25">
      <c r="B58" s="18" t="s">
        <v>482</v>
      </c>
      <c r="C58" s="44" t="s">
        <v>1123</v>
      </c>
      <c r="D58" s="20" t="s">
        <v>215</v>
      </c>
      <c r="E58" s="51" t="s">
        <v>3</v>
      </c>
      <c r="F58" s="11">
        <v>44042</v>
      </c>
      <c r="G58" s="5" t="s">
        <v>2686</v>
      </c>
      <c r="H58" s="2"/>
      <c r="I58" s="4">
        <v>1920000</v>
      </c>
      <c r="J58" s="4">
        <v>1920000</v>
      </c>
      <c r="K58" s="4">
        <v>1920000</v>
      </c>
      <c r="L58" s="4">
        <v>1920000</v>
      </c>
      <c r="M58" s="4">
        <v>0</v>
      </c>
      <c r="N58" s="4">
        <v>0</v>
      </c>
      <c r="O58" s="4">
        <v>0</v>
      </c>
      <c r="P58" s="24">
        <v>0</v>
      </c>
      <c r="Q58" s="4">
        <v>0</v>
      </c>
      <c r="R58" s="4">
        <v>1920000</v>
      </c>
      <c r="S58" s="4">
        <v>0</v>
      </c>
      <c r="T58" s="4">
        <v>0</v>
      </c>
      <c r="U58" s="24">
        <v>0</v>
      </c>
      <c r="V58" s="4">
        <v>110508</v>
      </c>
      <c r="W58" s="11">
        <v>53265</v>
      </c>
      <c r="X58" s="2"/>
      <c r="Y58" s="5" t="s">
        <v>3</v>
      </c>
      <c r="Z58" s="5" t="s">
        <v>1124</v>
      </c>
      <c r="AA58" s="5" t="s">
        <v>1316</v>
      </c>
      <c r="AB58" s="16" t="s">
        <v>3</v>
      </c>
    </row>
    <row r="59" spans="2:28" x14ac:dyDescent="0.25">
      <c r="B59" s="18" t="s">
        <v>2385</v>
      </c>
      <c r="C59" s="44" t="s">
        <v>3504</v>
      </c>
      <c r="D59" s="20" t="s">
        <v>744</v>
      </c>
      <c r="E59" s="51" t="s">
        <v>3</v>
      </c>
      <c r="F59" s="11">
        <v>43961</v>
      </c>
      <c r="G59" s="5" t="s">
        <v>2686</v>
      </c>
      <c r="H59" s="2"/>
      <c r="I59" s="4">
        <v>5523000</v>
      </c>
      <c r="J59" s="4">
        <v>5523000</v>
      </c>
      <c r="K59" s="4">
        <v>5522540</v>
      </c>
      <c r="L59" s="4">
        <v>5522583</v>
      </c>
      <c r="M59" s="4">
        <v>0</v>
      </c>
      <c r="N59" s="4">
        <v>417</v>
      </c>
      <c r="O59" s="4">
        <v>0</v>
      </c>
      <c r="P59" s="24">
        <v>417</v>
      </c>
      <c r="Q59" s="4">
        <v>0</v>
      </c>
      <c r="R59" s="4">
        <v>5523000</v>
      </c>
      <c r="S59" s="4">
        <v>0</v>
      </c>
      <c r="T59" s="4">
        <v>0</v>
      </c>
      <c r="U59" s="24">
        <v>0</v>
      </c>
      <c r="V59" s="4">
        <v>68807</v>
      </c>
      <c r="W59" s="11">
        <v>45789</v>
      </c>
      <c r="X59" s="2"/>
      <c r="Y59" s="5" t="s">
        <v>3</v>
      </c>
      <c r="Z59" s="5" t="s">
        <v>3438</v>
      </c>
      <c r="AA59" s="5" t="s">
        <v>928</v>
      </c>
      <c r="AB59" s="16" t="s">
        <v>3</v>
      </c>
    </row>
    <row r="60" spans="2:28" x14ac:dyDescent="0.25">
      <c r="B60" s="18" t="s">
        <v>3760</v>
      </c>
      <c r="C60" s="44" t="s">
        <v>1125</v>
      </c>
      <c r="D60" s="20" t="s">
        <v>854</v>
      </c>
      <c r="E60" s="51" t="s">
        <v>3</v>
      </c>
      <c r="F60" s="11">
        <v>44032</v>
      </c>
      <c r="G60" s="5" t="s">
        <v>2686</v>
      </c>
      <c r="H60" s="2"/>
      <c r="I60" s="4">
        <v>4000000</v>
      </c>
      <c r="J60" s="4">
        <v>4000000</v>
      </c>
      <c r="K60" s="4">
        <v>3998414</v>
      </c>
      <c r="L60" s="4">
        <v>3999884</v>
      </c>
      <c r="M60" s="4">
        <v>0</v>
      </c>
      <c r="N60" s="4">
        <v>116</v>
      </c>
      <c r="O60" s="4">
        <v>0</v>
      </c>
      <c r="P60" s="24">
        <v>116</v>
      </c>
      <c r="Q60" s="4">
        <v>0</v>
      </c>
      <c r="R60" s="4">
        <v>4000000</v>
      </c>
      <c r="S60" s="4">
        <v>0</v>
      </c>
      <c r="T60" s="4">
        <v>0</v>
      </c>
      <c r="U60" s="24">
        <v>0</v>
      </c>
      <c r="V60" s="4">
        <v>48300</v>
      </c>
      <c r="W60" s="11">
        <v>44397</v>
      </c>
      <c r="X60" s="2"/>
      <c r="Y60" s="5" t="s">
        <v>1950</v>
      </c>
      <c r="Z60" s="5" t="s">
        <v>417</v>
      </c>
      <c r="AA60" s="5" t="s">
        <v>417</v>
      </c>
      <c r="AB60" s="16" t="s">
        <v>3</v>
      </c>
    </row>
    <row r="61" spans="2:28" x14ac:dyDescent="0.25">
      <c r="B61" s="18" t="s">
        <v>483</v>
      </c>
      <c r="C61" s="44" t="s">
        <v>1603</v>
      </c>
      <c r="D61" s="20" t="s">
        <v>1604</v>
      </c>
      <c r="E61" s="51" t="s">
        <v>3</v>
      </c>
      <c r="F61" s="11">
        <v>44185</v>
      </c>
      <c r="G61" s="5" t="s">
        <v>2686</v>
      </c>
      <c r="H61" s="2"/>
      <c r="I61" s="4">
        <v>3000000</v>
      </c>
      <c r="J61" s="4">
        <v>3000000</v>
      </c>
      <c r="K61" s="4">
        <v>2999052</v>
      </c>
      <c r="L61" s="4">
        <v>2999849</v>
      </c>
      <c r="M61" s="4">
        <v>0</v>
      </c>
      <c r="N61" s="4">
        <v>151</v>
      </c>
      <c r="O61" s="4">
        <v>0</v>
      </c>
      <c r="P61" s="24">
        <v>151</v>
      </c>
      <c r="Q61" s="4">
        <v>0</v>
      </c>
      <c r="R61" s="4">
        <v>3000000</v>
      </c>
      <c r="S61" s="4">
        <v>0</v>
      </c>
      <c r="T61" s="4">
        <v>0</v>
      </c>
      <c r="U61" s="24">
        <v>0</v>
      </c>
      <c r="V61" s="4">
        <v>93338</v>
      </c>
      <c r="W61" s="11">
        <v>44550</v>
      </c>
      <c r="X61" s="2"/>
      <c r="Y61" s="5" t="s">
        <v>1950</v>
      </c>
      <c r="Z61" s="5" t="s">
        <v>417</v>
      </c>
      <c r="AA61" s="5" t="s">
        <v>4415</v>
      </c>
      <c r="AB61" s="16" t="s">
        <v>3</v>
      </c>
    </row>
    <row r="62" spans="2:28" x14ac:dyDescent="0.25">
      <c r="B62" s="18" t="s">
        <v>1556</v>
      </c>
      <c r="C62" s="44" t="s">
        <v>531</v>
      </c>
      <c r="D62" s="20" t="s">
        <v>2402</v>
      </c>
      <c r="E62" s="51" t="s">
        <v>3</v>
      </c>
      <c r="F62" s="11">
        <v>43980</v>
      </c>
      <c r="G62" s="5" t="s">
        <v>526</v>
      </c>
      <c r="H62" s="2"/>
      <c r="I62" s="4">
        <v>5000000</v>
      </c>
      <c r="J62" s="4">
        <v>5000000</v>
      </c>
      <c r="K62" s="4">
        <v>4997200</v>
      </c>
      <c r="L62" s="4">
        <v>4999707</v>
      </c>
      <c r="M62" s="4">
        <v>0</v>
      </c>
      <c r="N62" s="4">
        <v>293</v>
      </c>
      <c r="O62" s="4">
        <v>0</v>
      </c>
      <c r="P62" s="24">
        <v>293</v>
      </c>
      <c r="Q62" s="4">
        <v>0</v>
      </c>
      <c r="R62" s="4">
        <v>5000000</v>
      </c>
      <c r="S62" s="4">
        <v>0</v>
      </c>
      <c r="T62" s="4">
        <v>0</v>
      </c>
      <c r="U62" s="24">
        <v>0</v>
      </c>
      <c r="V62" s="4">
        <v>54688</v>
      </c>
      <c r="W62" s="11">
        <v>44011</v>
      </c>
      <c r="X62" s="2"/>
      <c r="Y62" s="5" t="s">
        <v>3102</v>
      </c>
      <c r="Z62" s="5" t="s">
        <v>1184</v>
      </c>
      <c r="AA62" s="5" t="s">
        <v>3</v>
      </c>
      <c r="AB62" s="16" t="s">
        <v>3</v>
      </c>
    </row>
    <row r="63" spans="2:28" x14ac:dyDescent="0.25">
      <c r="B63" s="18" t="s">
        <v>2643</v>
      </c>
      <c r="C63" s="44" t="s">
        <v>1258</v>
      </c>
      <c r="D63" s="20" t="s">
        <v>4353</v>
      </c>
      <c r="E63" s="51" t="s">
        <v>3</v>
      </c>
      <c r="F63" s="11">
        <v>44167</v>
      </c>
      <c r="G63" s="5" t="s">
        <v>2686</v>
      </c>
      <c r="H63" s="2"/>
      <c r="I63" s="4">
        <v>122299</v>
      </c>
      <c r="J63" s="4">
        <v>122299</v>
      </c>
      <c r="K63" s="4">
        <v>118783</v>
      </c>
      <c r="L63" s="4">
        <v>119457</v>
      </c>
      <c r="M63" s="4">
        <v>0</v>
      </c>
      <c r="N63" s="4">
        <v>2842</v>
      </c>
      <c r="O63" s="4">
        <v>0</v>
      </c>
      <c r="P63" s="24">
        <v>2842</v>
      </c>
      <c r="Q63" s="4">
        <v>0</v>
      </c>
      <c r="R63" s="4">
        <v>122299</v>
      </c>
      <c r="S63" s="4">
        <v>0</v>
      </c>
      <c r="T63" s="4">
        <v>0</v>
      </c>
      <c r="U63" s="24">
        <v>0</v>
      </c>
      <c r="V63" s="4">
        <v>1785</v>
      </c>
      <c r="W63" s="11">
        <v>47605</v>
      </c>
      <c r="X63" s="2"/>
      <c r="Y63" s="5" t="s">
        <v>2930</v>
      </c>
      <c r="Z63" s="5" t="s">
        <v>1850</v>
      </c>
      <c r="AA63" s="5" t="s">
        <v>928</v>
      </c>
      <c r="AB63" s="16" t="s">
        <v>3</v>
      </c>
    </row>
    <row r="64" spans="2:28" x14ac:dyDescent="0.25">
      <c r="B64" s="18" t="s">
        <v>3761</v>
      </c>
      <c r="C64" s="44" t="s">
        <v>3280</v>
      </c>
      <c r="D64" s="20" t="s">
        <v>3281</v>
      </c>
      <c r="E64" s="51" t="s">
        <v>3</v>
      </c>
      <c r="F64" s="11">
        <v>44029</v>
      </c>
      <c r="G64" s="5" t="s">
        <v>526</v>
      </c>
      <c r="H64" s="2"/>
      <c r="I64" s="4">
        <v>5000000</v>
      </c>
      <c r="J64" s="4">
        <v>5000000</v>
      </c>
      <c r="K64" s="4">
        <v>5003450</v>
      </c>
      <c r="L64" s="4">
        <v>5001518</v>
      </c>
      <c r="M64" s="4">
        <v>0</v>
      </c>
      <c r="N64" s="4">
        <v>-1518</v>
      </c>
      <c r="O64" s="4">
        <v>0</v>
      </c>
      <c r="P64" s="24">
        <v>-1518</v>
      </c>
      <c r="Q64" s="4">
        <v>0</v>
      </c>
      <c r="R64" s="4">
        <v>5000000</v>
      </c>
      <c r="S64" s="4">
        <v>0</v>
      </c>
      <c r="T64" s="4">
        <v>0</v>
      </c>
      <c r="U64" s="24">
        <v>0</v>
      </c>
      <c r="V64" s="4">
        <v>119167</v>
      </c>
      <c r="W64" s="11">
        <v>44060</v>
      </c>
      <c r="X64" s="2"/>
      <c r="Y64" s="5" t="s">
        <v>3571</v>
      </c>
      <c r="Z64" s="5" t="s">
        <v>2468</v>
      </c>
      <c r="AA64" s="5" t="s">
        <v>3505</v>
      </c>
      <c r="AB64" s="16" t="s">
        <v>3</v>
      </c>
    </row>
    <row r="65" spans="2:28" x14ac:dyDescent="0.25">
      <c r="B65" s="18" t="s">
        <v>484</v>
      </c>
      <c r="C65" s="44" t="s">
        <v>1951</v>
      </c>
      <c r="D65" s="20" t="s">
        <v>2468</v>
      </c>
      <c r="E65" s="51" t="s">
        <v>3</v>
      </c>
      <c r="F65" s="11">
        <v>44131</v>
      </c>
      <c r="G65" s="5" t="s">
        <v>526</v>
      </c>
      <c r="H65" s="2"/>
      <c r="I65" s="4">
        <v>5000000</v>
      </c>
      <c r="J65" s="4">
        <v>5000000</v>
      </c>
      <c r="K65" s="4">
        <v>4951875</v>
      </c>
      <c r="L65" s="4">
        <v>4983959</v>
      </c>
      <c r="M65" s="4">
        <v>0</v>
      </c>
      <c r="N65" s="4">
        <v>16041</v>
      </c>
      <c r="O65" s="4">
        <v>0</v>
      </c>
      <c r="P65" s="24">
        <v>16041</v>
      </c>
      <c r="Q65" s="4">
        <v>0</v>
      </c>
      <c r="R65" s="4">
        <v>5000000</v>
      </c>
      <c r="S65" s="4">
        <v>0</v>
      </c>
      <c r="T65" s="4">
        <v>0</v>
      </c>
      <c r="U65" s="24">
        <v>0</v>
      </c>
      <c r="V65" s="4">
        <v>112292</v>
      </c>
      <c r="W65" s="11">
        <v>44162</v>
      </c>
      <c r="X65" s="2"/>
      <c r="Y65" s="5" t="s">
        <v>3571</v>
      </c>
      <c r="Z65" s="5" t="s">
        <v>2468</v>
      </c>
      <c r="AA65" s="5" t="s">
        <v>3</v>
      </c>
      <c r="AB65" s="16" t="s">
        <v>3</v>
      </c>
    </row>
    <row r="66" spans="2:28" x14ac:dyDescent="0.25">
      <c r="B66" s="18" t="s">
        <v>1558</v>
      </c>
      <c r="C66" s="44" t="s">
        <v>1605</v>
      </c>
      <c r="D66" s="20" t="s">
        <v>2756</v>
      </c>
      <c r="E66" s="51" t="s">
        <v>3</v>
      </c>
      <c r="F66" s="11">
        <v>44103</v>
      </c>
      <c r="G66" s="5" t="s">
        <v>2403</v>
      </c>
      <c r="H66" s="2"/>
      <c r="I66" s="4">
        <v>2878263</v>
      </c>
      <c r="J66" s="4">
        <v>2850000</v>
      </c>
      <c r="K66" s="4">
        <v>2749993</v>
      </c>
      <c r="L66" s="4">
        <v>2831692</v>
      </c>
      <c r="M66" s="4">
        <v>0</v>
      </c>
      <c r="N66" s="4">
        <v>18307.689999999999</v>
      </c>
      <c r="O66" s="4">
        <v>0</v>
      </c>
      <c r="P66" s="24">
        <v>18307.689999999999</v>
      </c>
      <c r="Q66" s="4">
        <v>0</v>
      </c>
      <c r="R66" s="4">
        <v>2878263</v>
      </c>
      <c r="S66" s="4">
        <v>0</v>
      </c>
      <c r="T66" s="4">
        <v>0</v>
      </c>
      <c r="U66" s="24">
        <v>0</v>
      </c>
      <c r="V66" s="4">
        <v>89790.31</v>
      </c>
      <c r="W66" s="11">
        <v>44147</v>
      </c>
      <c r="X66" s="2"/>
      <c r="Y66" s="5" t="s">
        <v>2014</v>
      </c>
      <c r="Z66" s="5" t="s">
        <v>2756</v>
      </c>
      <c r="AA66" s="5" t="s">
        <v>3</v>
      </c>
      <c r="AB66" s="16" t="s">
        <v>3</v>
      </c>
    </row>
    <row r="67" spans="2:28" x14ac:dyDescent="0.25">
      <c r="B67" s="18" t="s">
        <v>2644</v>
      </c>
      <c r="C67" s="44" t="s">
        <v>4416</v>
      </c>
      <c r="D67" s="20" t="s">
        <v>3811</v>
      </c>
      <c r="E67" s="51" t="s">
        <v>3</v>
      </c>
      <c r="F67" s="11">
        <v>44089</v>
      </c>
      <c r="G67" s="5" t="s">
        <v>1104</v>
      </c>
      <c r="H67" s="2"/>
      <c r="I67" s="4">
        <v>5000000</v>
      </c>
      <c r="J67" s="4">
        <v>5000000</v>
      </c>
      <c r="K67" s="4">
        <v>5075425</v>
      </c>
      <c r="L67" s="4">
        <v>5039547</v>
      </c>
      <c r="M67" s="4">
        <v>0</v>
      </c>
      <c r="N67" s="4">
        <v>-39547</v>
      </c>
      <c r="O67" s="4">
        <v>0</v>
      </c>
      <c r="P67" s="24">
        <v>-39547</v>
      </c>
      <c r="Q67" s="4">
        <v>0</v>
      </c>
      <c r="R67" s="4">
        <v>5000000</v>
      </c>
      <c r="S67" s="4">
        <v>0</v>
      </c>
      <c r="T67" s="4">
        <v>0</v>
      </c>
      <c r="U67" s="24">
        <v>0</v>
      </c>
      <c r="V67" s="4">
        <v>268750</v>
      </c>
      <c r="W67" s="11">
        <v>44089</v>
      </c>
      <c r="X67" s="2"/>
      <c r="Y67" s="5" t="s">
        <v>2688</v>
      </c>
      <c r="Z67" s="5" t="s">
        <v>855</v>
      </c>
      <c r="AA67" s="5" t="s">
        <v>3</v>
      </c>
      <c r="AB67" s="16" t="s">
        <v>3</v>
      </c>
    </row>
    <row r="68" spans="2:28" x14ac:dyDescent="0.25">
      <c r="B68" s="18" t="s">
        <v>3762</v>
      </c>
      <c r="C68" s="44" t="s">
        <v>1952</v>
      </c>
      <c r="D68" s="20" t="s">
        <v>216</v>
      </c>
      <c r="E68" s="51" t="s">
        <v>3</v>
      </c>
      <c r="F68" s="11">
        <v>44029</v>
      </c>
      <c r="G68" s="5" t="s">
        <v>4396</v>
      </c>
      <c r="H68" s="2"/>
      <c r="I68" s="4">
        <v>6910006</v>
      </c>
      <c r="J68" s="4">
        <v>6900000</v>
      </c>
      <c r="K68" s="4">
        <v>6912780</v>
      </c>
      <c r="L68" s="4">
        <v>6912402</v>
      </c>
      <c r="M68" s="4">
        <v>0</v>
      </c>
      <c r="N68" s="4">
        <v>-2396</v>
      </c>
      <c r="O68" s="4">
        <v>0</v>
      </c>
      <c r="P68" s="24">
        <v>-2396</v>
      </c>
      <c r="Q68" s="4">
        <v>0</v>
      </c>
      <c r="R68" s="4">
        <v>6910006</v>
      </c>
      <c r="S68" s="4">
        <v>0</v>
      </c>
      <c r="T68" s="4">
        <v>0</v>
      </c>
      <c r="U68" s="24">
        <v>0</v>
      </c>
      <c r="V68" s="4">
        <v>122475</v>
      </c>
      <c r="W68" s="11">
        <v>44788</v>
      </c>
      <c r="X68" s="2"/>
      <c r="Y68" s="5" t="s">
        <v>2016</v>
      </c>
      <c r="Z68" s="5" t="s">
        <v>583</v>
      </c>
      <c r="AA68" s="5" t="s">
        <v>928</v>
      </c>
      <c r="AB68" s="16" t="s">
        <v>3</v>
      </c>
    </row>
    <row r="69" spans="2:28" x14ac:dyDescent="0.25">
      <c r="B69" s="18" t="s">
        <v>1559</v>
      </c>
      <c r="C69" s="44" t="s">
        <v>4417</v>
      </c>
      <c r="D69" s="20" t="s">
        <v>216</v>
      </c>
      <c r="E69" s="51" t="s">
        <v>3</v>
      </c>
      <c r="F69" s="11">
        <v>44029</v>
      </c>
      <c r="G69" s="5" t="s">
        <v>4396</v>
      </c>
      <c r="H69" s="2"/>
      <c r="I69" s="4">
        <v>4987184</v>
      </c>
      <c r="J69" s="4">
        <v>5000000</v>
      </c>
      <c r="K69" s="4">
        <v>4983964</v>
      </c>
      <c r="L69" s="4">
        <v>4984532</v>
      </c>
      <c r="M69" s="4">
        <v>0</v>
      </c>
      <c r="N69" s="4">
        <v>2653</v>
      </c>
      <c r="O69" s="4">
        <v>0</v>
      </c>
      <c r="P69" s="24">
        <v>2653</v>
      </c>
      <c r="Q69" s="4">
        <v>0</v>
      </c>
      <c r="R69" s="4">
        <v>4987184</v>
      </c>
      <c r="S69" s="4">
        <v>0</v>
      </c>
      <c r="T69" s="4">
        <v>0</v>
      </c>
      <c r="U69" s="24">
        <v>0</v>
      </c>
      <c r="V69" s="4">
        <v>68750</v>
      </c>
      <c r="W69" s="11">
        <v>44972</v>
      </c>
      <c r="X69" s="2"/>
      <c r="Y69" s="5" t="s">
        <v>2016</v>
      </c>
      <c r="Z69" s="5" t="s">
        <v>583</v>
      </c>
      <c r="AA69" s="5" t="s">
        <v>928</v>
      </c>
      <c r="AB69" s="16" t="s">
        <v>3</v>
      </c>
    </row>
    <row r="70" spans="2:28" x14ac:dyDescent="0.25">
      <c r="B70" s="18" t="s">
        <v>2645</v>
      </c>
      <c r="C70" s="44" t="s">
        <v>3812</v>
      </c>
      <c r="D70" s="20" t="s">
        <v>216</v>
      </c>
      <c r="E70" s="51" t="s">
        <v>3</v>
      </c>
      <c r="F70" s="11">
        <v>44029</v>
      </c>
      <c r="G70" s="5" t="s">
        <v>4396</v>
      </c>
      <c r="H70" s="2"/>
      <c r="I70" s="4">
        <v>6983956</v>
      </c>
      <c r="J70" s="4">
        <v>7000000</v>
      </c>
      <c r="K70" s="4">
        <v>6980960</v>
      </c>
      <c r="L70" s="4">
        <v>6982625</v>
      </c>
      <c r="M70" s="4">
        <v>0</v>
      </c>
      <c r="N70" s="4">
        <v>1331</v>
      </c>
      <c r="O70" s="4">
        <v>0</v>
      </c>
      <c r="P70" s="24">
        <v>1331</v>
      </c>
      <c r="Q70" s="4">
        <v>0</v>
      </c>
      <c r="R70" s="4">
        <v>6983956</v>
      </c>
      <c r="S70" s="4">
        <v>0</v>
      </c>
      <c r="T70" s="4">
        <v>0</v>
      </c>
      <c r="U70" s="24">
        <v>0</v>
      </c>
      <c r="V70" s="4">
        <v>112000</v>
      </c>
      <c r="W70" s="11">
        <v>46188</v>
      </c>
      <c r="X70" s="2"/>
      <c r="Y70" s="5" t="s">
        <v>2016</v>
      </c>
      <c r="Z70" s="5" t="s">
        <v>583</v>
      </c>
      <c r="AA70" s="5" t="s">
        <v>928</v>
      </c>
      <c r="AB70" s="16" t="s">
        <v>3</v>
      </c>
    </row>
    <row r="71" spans="2:28" x14ac:dyDescent="0.25">
      <c r="B71" s="18" t="s">
        <v>3763</v>
      </c>
      <c r="C71" s="44" t="s">
        <v>1317</v>
      </c>
      <c r="D71" s="20" t="s">
        <v>4418</v>
      </c>
      <c r="E71" s="51" t="s">
        <v>3</v>
      </c>
      <c r="F71" s="11">
        <v>43972</v>
      </c>
      <c r="G71" s="5" t="s">
        <v>2195</v>
      </c>
      <c r="H71" s="2"/>
      <c r="I71" s="4">
        <v>3370520</v>
      </c>
      <c r="J71" s="4">
        <v>3000000</v>
      </c>
      <c r="K71" s="4">
        <v>3040290</v>
      </c>
      <c r="L71" s="4">
        <v>3036848</v>
      </c>
      <c r="M71" s="4">
        <v>0</v>
      </c>
      <c r="N71" s="4">
        <v>-2849</v>
      </c>
      <c r="O71" s="4">
        <v>0</v>
      </c>
      <c r="P71" s="24">
        <v>-2849</v>
      </c>
      <c r="Q71" s="4">
        <v>0</v>
      </c>
      <c r="R71" s="4">
        <v>3033999</v>
      </c>
      <c r="S71" s="4">
        <v>0</v>
      </c>
      <c r="T71" s="4">
        <v>336521</v>
      </c>
      <c r="U71" s="24">
        <v>336521</v>
      </c>
      <c r="V71" s="4">
        <v>65940</v>
      </c>
      <c r="W71" s="11">
        <v>45580</v>
      </c>
      <c r="X71" s="2"/>
      <c r="Y71" s="5" t="s">
        <v>1373</v>
      </c>
      <c r="Z71" s="5" t="s">
        <v>2251</v>
      </c>
      <c r="AA71" s="5" t="s">
        <v>928</v>
      </c>
      <c r="AB71" s="16" t="s">
        <v>3</v>
      </c>
    </row>
    <row r="72" spans="2:28" x14ac:dyDescent="0.25">
      <c r="B72" s="18" t="s">
        <v>485</v>
      </c>
      <c r="C72" s="44" t="s">
        <v>1318</v>
      </c>
      <c r="D72" s="20" t="s">
        <v>4418</v>
      </c>
      <c r="E72" s="51" t="s">
        <v>3</v>
      </c>
      <c r="F72" s="11">
        <v>44054</v>
      </c>
      <c r="G72" s="5" t="s">
        <v>4396</v>
      </c>
      <c r="H72" s="2"/>
      <c r="I72" s="4">
        <v>4969365</v>
      </c>
      <c r="J72" s="4">
        <v>5000000</v>
      </c>
      <c r="K72" s="4">
        <v>4963050</v>
      </c>
      <c r="L72" s="4">
        <v>4966494</v>
      </c>
      <c r="M72" s="4">
        <v>0</v>
      </c>
      <c r="N72" s="4">
        <v>2871</v>
      </c>
      <c r="O72" s="4">
        <v>0</v>
      </c>
      <c r="P72" s="24">
        <v>2871</v>
      </c>
      <c r="Q72" s="4">
        <v>0</v>
      </c>
      <c r="R72" s="4">
        <v>4969365</v>
      </c>
      <c r="S72" s="4">
        <v>0</v>
      </c>
      <c r="T72" s="4">
        <v>0</v>
      </c>
      <c r="U72" s="24">
        <v>0</v>
      </c>
      <c r="V72" s="4">
        <v>106250</v>
      </c>
      <c r="W72" s="11">
        <v>46127</v>
      </c>
      <c r="X72" s="2"/>
      <c r="Y72" s="5" t="s">
        <v>1373</v>
      </c>
      <c r="Z72" s="5" t="s">
        <v>2251</v>
      </c>
      <c r="AA72" s="5" t="s">
        <v>928</v>
      </c>
      <c r="AB72" s="16" t="s">
        <v>3</v>
      </c>
    </row>
    <row r="73" spans="2:28" x14ac:dyDescent="0.25">
      <c r="B73" s="18" t="s">
        <v>1561</v>
      </c>
      <c r="C73" s="44" t="s">
        <v>2689</v>
      </c>
      <c r="D73" s="20" t="s">
        <v>3881</v>
      </c>
      <c r="E73" s="51" t="s">
        <v>3</v>
      </c>
      <c r="F73" s="11">
        <v>44159</v>
      </c>
      <c r="G73" s="5" t="s">
        <v>848</v>
      </c>
      <c r="H73" s="2"/>
      <c r="I73" s="4">
        <v>5000000</v>
      </c>
      <c r="J73" s="4">
        <v>5000000</v>
      </c>
      <c r="K73" s="4">
        <v>4995700</v>
      </c>
      <c r="L73" s="4">
        <v>4999173</v>
      </c>
      <c r="M73" s="4">
        <v>0</v>
      </c>
      <c r="N73" s="4">
        <v>827</v>
      </c>
      <c r="O73" s="4">
        <v>0</v>
      </c>
      <c r="P73" s="24">
        <v>827</v>
      </c>
      <c r="Q73" s="4">
        <v>0</v>
      </c>
      <c r="R73" s="4">
        <v>5000000</v>
      </c>
      <c r="S73" s="4">
        <v>0</v>
      </c>
      <c r="T73" s="4">
        <v>0</v>
      </c>
      <c r="U73" s="24">
        <v>0</v>
      </c>
      <c r="V73" s="4">
        <v>175000</v>
      </c>
      <c r="W73" s="11">
        <v>44159</v>
      </c>
      <c r="X73" s="2"/>
      <c r="Y73" s="5" t="s">
        <v>47</v>
      </c>
      <c r="Z73" s="5" t="s">
        <v>3881</v>
      </c>
      <c r="AA73" s="5" t="s">
        <v>3</v>
      </c>
      <c r="AB73" s="16" t="s">
        <v>3</v>
      </c>
    </row>
    <row r="74" spans="2:28" x14ac:dyDescent="0.25">
      <c r="B74" s="18" t="s">
        <v>2646</v>
      </c>
      <c r="C74" s="44" t="s">
        <v>3506</v>
      </c>
      <c r="D74" s="20" t="s">
        <v>4169</v>
      </c>
      <c r="E74" s="51" t="s">
        <v>3</v>
      </c>
      <c r="F74" s="11">
        <v>44026</v>
      </c>
      <c r="G74" s="5" t="s">
        <v>4396</v>
      </c>
      <c r="H74" s="2"/>
      <c r="I74" s="4">
        <v>5052626</v>
      </c>
      <c r="J74" s="4">
        <v>5000000</v>
      </c>
      <c r="K74" s="4">
        <v>5076722</v>
      </c>
      <c r="L74" s="4">
        <v>5069771</v>
      </c>
      <c r="M74" s="4">
        <v>0</v>
      </c>
      <c r="N74" s="4">
        <v>-17146</v>
      </c>
      <c r="O74" s="4">
        <v>0</v>
      </c>
      <c r="P74" s="24">
        <v>-17146</v>
      </c>
      <c r="Q74" s="4">
        <v>0</v>
      </c>
      <c r="R74" s="4">
        <v>5052626</v>
      </c>
      <c r="S74" s="4">
        <v>0</v>
      </c>
      <c r="T74" s="4">
        <v>0</v>
      </c>
      <c r="U74" s="24">
        <v>0</v>
      </c>
      <c r="V74" s="4">
        <v>97500</v>
      </c>
      <c r="W74" s="11">
        <v>44607</v>
      </c>
      <c r="X74" s="2"/>
      <c r="Y74" s="5" t="s">
        <v>3</v>
      </c>
      <c r="Z74" s="5" t="s">
        <v>943</v>
      </c>
      <c r="AA74" s="5" t="s">
        <v>928</v>
      </c>
      <c r="AB74" s="16" t="s">
        <v>3</v>
      </c>
    </row>
    <row r="75" spans="2:28" x14ac:dyDescent="0.25">
      <c r="B75" s="18" t="s">
        <v>3764</v>
      </c>
      <c r="C75" s="44" t="s">
        <v>217</v>
      </c>
      <c r="D75" s="20" t="s">
        <v>4169</v>
      </c>
      <c r="E75" s="51" t="s">
        <v>3</v>
      </c>
      <c r="F75" s="11">
        <v>44026</v>
      </c>
      <c r="G75" s="5" t="s">
        <v>4396</v>
      </c>
      <c r="H75" s="2"/>
      <c r="I75" s="4">
        <v>4998112</v>
      </c>
      <c r="J75" s="4">
        <v>5000000</v>
      </c>
      <c r="K75" s="4">
        <v>4997521</v>
      </c>
      <c r="L75" s="4">
        <v>4997771</v>
      </c>
      <c r="M75" s="4">
        <v>0</v>
      </c>
      <c r="N75" s="4">
        <v>340</v>
      </c>
      <c r="O75" s="4">
        <v>0</v>
      </c>
      <c r="P75" s="24">
        <v>340</v>
      </c>
      <c r="Q75" s="4">
        <v>0</v>
      </c>
      <c r="R75" s="4">
        <v>4998112</v>
      </c>
      <c r="S75" s="4">
        <v>0</v>
      </c>
      <c r="T75" s="4">
        <v>0</v>
      </c>
      <c r="U75" s="24">
        <v>0</v>
      </c>
      <c r="V75" s="4">
        <v>75000</v>
      </c>
      <c r="W75" s="11">
        <v>45122</v>
      </c>
      <c r="X75" s="2"/>
      <c r="Y75" s="5" t="s">
        <v>3</v>
      </c>
      <c r="Z75" s="5" t="s">
        <v>943</v>
      </c>
      <c r="AA75" s="5" t="s">
        <v>928</v>
      </c>
      <c r="AB75" s="16" t="s">
        <v>3</v>
      </c>
    </row>
    <row r="76" spans="2:28" x14ac:dyDescent="0.25">
      <c r="B76" s="18" t="s">
        <v>486</v>
      </c>
      <c r="C76" s="44" t="s">
        <v>2404</v>
      </c>
      <c r="D76" s="20" t="s">
        <v>3282</v>
      </c>
      <c r="E76" s="51" t="s">
        <v>3</v>
      </c>
      <c r="F76" s="11">
        <v>44122</v>
      </c>
      <c r="G76" s="5" t="s">
        <v>2686</v>
      </c>
      <c r="H76" s="2"/>
      <c r="I76" s="4">
        <v>636000</v>
      </c>
      <c r="J76" s="4">
        <v>636000</v>
      </c>
      <c r="K76" s="4">
        <v>630361</v>
      </c>
      <c r="L76" s="4">
        <v>632623</v>
      </c>
      <c r="M76" s="4">
        <v>0</v>
      </c>
      <c r="N76" s="4">
        <v>3377</v>
      </c>
      <c r="O76" s="4">
        <v>0</v>
      </c>
      <c r="P76" s="24">
        <v>3377</v>
      </c>
      <c r="Q76" s="4">
        <v>0</v>
      </c>
      <c r="R76" s="4">
        <v>636000</v>
      </c>
      <c r="S76" s="4">
        <v>0</v>
      </c>
      <c r="T76" s="4">
        <v>0</v>
      </c>
      <c r="U76" s="24">
        <v>0</v>
      </c>
      <c r="V76" s="4">
        <v>13398</v>
      </c>
      <c r="W76" s="11">
        <v>46830</v>
      </c>
      <c r="X76" s="2"/>
      <c r="Y76" s="5" t="s">
        <v>3</v>
      </c>
      <c r="Z76" s="5" t="s">
        <v>218</v>
      </c>
      <c r="AA76" s="5" t="s">
        <v>928</v>
      </c>
      <c r="AB76" s="16" t="s">
        <v>3</v>
      </c>
    </row>
    <row r="77" spans="2:28" x14ac:dyDescent="0.25">
      <c r="B77" s="18" t="s">
        <v>1911</v>
      </c>
      <c r="C77" s="44" t="s">
        <v>1606</v>
      </c>
      <c r="D77" s="20" t="s">
        <v>1126</v>
      </c>
      <c r="E77" s="51" t="s">
        <v>3</v>
      </c>
      <c r="F77" s="11">
        <v>44122</v>
      </c>
      <c r="G77" s="5" t="s">
        <v>2686</v>
      </c>
      <c r="H77" s="2"/>
      <c r="I77" s="4">
        <v>3492430</v>
      </c>
      <c r="J77" s="4">
        <v>3492430</v>
      </c>
      <c r="K77" s="4">
        <v>3495718</v>
      </c>
      <c r="L77" s="4">
        <v>3493689</v>
      </c>
      <c r="M77" s="4">
        <v>0</v>
      </c>
      <c r="N77" s="4">
        <v>-1258</v>
      </c>
      <c r="O77" s="4">
        <v>0</v>
      </c>
      <c r="P77" s="24">
        <v>-1258</v>
      </c>
      <c r="Q77" s="4">
        <v>0</v>
      </c>
      <c r="R77" s="4">
        <v>3492430</v>
      </c>
      <c r="S77" s="4">
        <v>0</v>
      </c>
      <c r="T77" s="4">
        <v>0</v>
      </c>
      <c r="U77" s="24">
        <v>0</v>
      </c>
      <c r="V77" s="4">
        <v>86533</v>
      </c>
      <c r="W77" s="11">
        <v>47287</v>
      </c>
      <c r="X77" s="2"/>
      <c r="Y77" s="5" t="s">
        <v>4170</v>
      </c>
      <c r="Z77" s="5" t="s">
        <v>3042</v>
      </c>
      <c r="AA77" s="5" t="s">
        <v>928</v>
      </c>
      <c r="AB77" s="16" t="s">
        <v>3</v>
      </c>
    </row>
    <row r="78" spans="2:28" x14ac:dyDescent="0.25">
      <c r="B78" s="18" t="s">
        <v>2996</v>
      </c>
      <c r="C78" s="44" t="s">
        <v>1127</v>
      </c>
      <c r="D78" s="20" t="s">
        <v>1128</v>
      </c>
      <c r="E78" s="51" t="s">
        <v>3</v>
      </c>
      <c r="F78" s="11">
        <v>44092</v>
      </c>
      <c r="G78" s="5" t="s">
        <v>2686</v>
      </c>
      <c r="H78" s="2"/>
      <c r="I78" s="4">
        <v>2170598</v>
      </c>
      <c r="J78" s="4">
        <v>2170598</v>
      </c>
      <c r="K78" s="4">
        <v>2160118</v>
      </c>
      <c r="L78" s="4">
        <v>2161082</v>
      </c>
      <c r="M78" s="4">
        <v>0</v>
      </c>
      <c r="N78" s="4">
        <v>9516</v>
      </c>
      <c r="O78" s="4">
        <v>0</v>
      </c>
      <c r="P78" s="24">
        <v>9516</v>
      </c>
      <c r="Q78" s="4">
        <v>0</v>
      </c>
      <c r="R78" s="4">
        <v>2170598</v>
      </c>
      <c r="S78" s="4">
        <v>0</v>
      </c>
      <c r="T78" s="4">
        <v>0</v>
      </c>
      <c r="U78" s="24">
        <v>0</v>
      </c>
      <c r="V78" s="4">
        <v>56292</v>
      </c>
      <c r="W78" s="11">
        <v>52004</v>
      </c>
      <c r="X78" s="2"/>
      <c r="Y78" s="5" t="s">
        <v>3</v>
      </c>
      <c r="Z78" s="5" t="s">
        <v>1128</v>
      </c>
      <c r="AA78" s="5" t="s">
        <v>3</v>
      </c>
      <c r="AB78" s="16" t="s">
        <v>3</v>
      </c>
    </row>
    <row r="79" spans="2:28" x14ac:dyDescent="0.25">
      <c r="B79" s="18" t="s">
        <v>487</v>
      </c>
      <c r="C79" s="44" t="s">
        <v>745</v>
      </c>
      <c r="D79" s="20" t="s">
        <v>4047</v>
      </c>
      <c r="E79" s="51" t="s">
        <v>3</v>
      </c>
      <c r="F79" s="11">
        <v>44183</v>
      </c>
      <c r="G79" s="5" t="s">
        <v>2686</v>
      </c>
      <c r="H79" s="2"/>
      <c r="I79" s="4">
        <v>496279</v>
      </c>
      <c r="J79" s="4">
        <v>496279</v>
      </c>
      <c r="K79" s="4">
        <v>496275</v>
      </c>
      <c r="L79" s="4">
        <v>496271</v>
      </c>
      <c r="M79" s="4">
        <v>0</v>
      </c>
      <c r="N79" s="4">
        <v>8</v>
      </c>
      <c r="O79" s="4">
        <v>0</v>
      </c>
      <c r="P79" s="24">
        <v>8</v>
      </c>
      <c r="Q79" s="4">
        <v>0</v>
      </c>
      <c r="R79" s="4">
        <v>496279</v>
      </c>
      <c r="S79" s="4">
        <v>0</v>
      </c>
      <c r="T79" s="4">
        <v>0</v>
      </c>
      <c r="U79" s="24">
        <v>0</v>
      </c>
      <c r="V79" s="4">
        <v>10200</v>
      </c>
      <c r="W79" s="11">
        <v>52735</v>
      </c>
      <c r="X79" s="2"/>
      <c r="Y79" s="5" t="s">
        <v>3</v>
      </c>
      <c r="Z79" s="5" t="s">
        <v>2585</v>
      </c>
      <c r="AA79" s="5" t="s">
        <v>928</v>
      </c>
      <c r="AB79" s="16" t="s">
        <v>3</v>
      </c>
    </row>
    <row r="80" spans="2:28" x14ac:dyDescent="0.25">
      <c r="B80" s="18" t="s">
        <v>1563</v>
      </c>
      <c r="C80" s="44" t="s">
        <v>4419</v>
      </c>
      <c r="D80" s="20" t="s">
        <v>3283</v>
      </c>
      <c r="E80" s="51" t="s">
        <v>3</v>
      </c>
      <c r="F80" s="11">
        <v>43936</v>
      </c>
      <c r="G80" s="5" t="s">
        <v>2686</v>
      </c>
      <c r="H80" s="2"/>
      <c r="I80" s="4">
        <v>10000000</v>
      </c>
      <c r="J80" s="4">
        <v>10000000</v>
      </c>
      <c r="K80" s="4">
        <v>9997039</v>
      </c>
      <c r="L80" s="4">
        <v>9999363</v>
      </c>
      <c r="M80" s="4">
        <v>0</v>
      </c>
      <c r="N80" s="4">
        <v>637</v>
      </c>
      <c r="O80" s="4">
        <v>0</v>
      </c>
      <c r="P80" s="24">
        <v>637</v>
      </c>
      <c r="Q80" s="4">
        <v>0</v>
      </c>
      <c r="R80" s="4">
        <v>10000000</v>
      </c>
      <c r="S80" s="4">
        <v>0</v>
      </c>
      <c r="T80" s="4">
        <v>0</v>
      </c>
      <c r="U80" s="24">
        <v>0</v>
      </c>
      <c r="V80" s="4">
        <v>73000</v>
      </c>
      <c r="W80" s="11">
        <v>45122</v>
      </c>
      <c r="X80" s="2"/>
      <c r="Y80" s="5" t="s">
        <v>3</v>
      </c>
      <c r="Z80" s="5" t="s">
        <v>3283</v>
      </c>
      <c r="AA80" s="5" t="s">
        <v>3</v>
      </c>
      <c r="AB80" s="16" t="s">
        <v>3</v>
      </c>
    </row>
    <row r="81" spans="2:28" x14ac:dyDescent="0.25">
      <c r="B81" s="18" t="s">
        <v>2647</v>
      </c>
      <c r="C81" s="44" t="s">
        <v>2690</v>
      </c>
      <c r="D81" s="20" t="s">
        <v>4420</v>
      </c>
      <c r="E81" s="51" t="s">
        <v>3</v>
      </c>
      <c r="F81" s="11">
        <v>43997</v>
      </c>
      <c r="G81" s="5" t="s">
        <v>2686</v>
      </c>
      <c r="H81" s="2"/>
      <c r="I81" s="4">
        <v>3500000</v>
      </c>
      <c r="J81" s="4">
        <v>3500000</v>
      </c>
      <c r="K81" s="4">
        <v>3499887</v>
      </c>
      <c r="L81" s="4">
        <v>3499907</v>
      </c>
      <c r="M81" s="4">
        <v>0</v>
      </c>
      <c r="N81" s="4">
        <v>93</v>
      </c>
      <c r="O81" s="4">
        <v>0</v>
      </c>
      <c r="P81" s="24">
        <v>93</v>
      </c>
      <c r="Q81" s="4">
        <v>0</v>
      </c>
      <c r="R81" s="4">
        <v>3500000</v>
      </c>
      <c r="S81" s="4">
        <v>0</v>
      </c>
      <c r="T81" s="4">
        <v>0</v>
      </c>
      <c r="U81" s="24">
        <v>0</v>
      </c>
      <c r="V81" s="4">
        <v>38500</v>
      </c>
      <c r="W81" s="11">
        <v>45214</v>
      </c>
      <c r="X81" s="2"/>
      <c r="Y81" s="5" t="s">
        <v>3043</v>
      </c>
      <c r="Z81" s="5" t="s">
        <v>4420</v>
      </c>
      <c r="AA81" s="5" t="s">
        <v>3</v>
      </c>
      <c r="AB81" s="16" t="s">
        <v>3</v>
      </c>
    </row>
    <row r="82" spans="2:28" x14ac:dyDescent="0.25">
      <c r="B82" s="18" t="s">
        <v>3766</v>
      </c>
      <c r="C82" s="44" t="s">
        <v>3444</v>
      </c>
      <c r="D82" s="20" t="s">
        <v>3693</v>
      </c>
      <c r="E82" s="51" t="s">
        <v>3</v>
      </c>
      <c r="F82" s="11">
        <v>44114</v>
      </c>
      <c r="G82" s="5" t="s">
        <v>2686</v>
      </c>
      <c r="H82" s="2"/>
      <c r="I82" s="4">
        <v>1276752</v>
      </c>
      <c r="J82" s="4">
        <v>1276752</v>
      </c>
      <c r="K82" s="4">
        <v>1276752</v>
      </c>
      <c r="L82" s="4">
        <v>1276752</v>
      </c>
      <c r="M82" s="4">
        <v>0</v>
      </c>
      <c r="N82" s="4">
        <v>0</v>
      </c>
      <c r="O82" s="4">
        <v>0</v>
      </c>
      <c r="P82" s="24">
        <v>0</v>
      </c>
      <c r="Q82" s="4">
        <v>0</v>
      </c>
      <c r="R82" s="4">
        <v>1276752</v>
      </c>
      <c r="S82" s="4">
        <v>0</v>
      </c>
      <c r="T82" s="4">
        <v>0</v>
      </c>
      <c r="U82" s="24">
        <v>0</v>
      </c>
      <c r="V82" s="4">
        <v>46114</v>
      </c>
      <c r="W82" s="11">
        <v>45301</v>
      </c>
      <c r="X82" s="2"/>
      <c r="Y82" s="5" t="s">
        <v>3</v>
      </c>
      <c r="Z82" s="5" t="s">
        <v>146</v>
      </c>
      <c r="AA82" s="5" t="s">
        <v>749</v>
      </c>
      <c r="AB82" s="16" t="s">
        <v>3</v>
      </c>
    </row>
    <row r="83" spans="2:28" x14ac:dyDescent="0.25">
      <c r="B83" s="18" t="s">
        <v>488</v>
      </c>
      <c r="C83" s="44" t="s">
        <v>856</v>
      </c>
      <c r="D83" s="20" t="s">
        <v>2335</v>
      </c>
      <c r="E83" s="51" t="s">
        <v>3</v>
      </c>
      <c r="F83" s="11">
        <v>43951</v>
      </c>
      <c r="G83" s="5" t="s">
        <v>4397</v>
      </c>
      <c r="H83" s="2"/>
      <c r="I83" s="4">
        <v>7980000</v>
      </c>
      <c r="J83" s="4">
        <v>8000000</v>
      </c>
      <c r="K83" s="4">
        <v>7999995</v>
      </c>
      <c r="L83" s="4">
        <v>7999890</v>
      </c>
      <c r="M83" s="4">
        <v>0</v>
      </c>
      <c r="N83" s="4">
        <v>-126</v>
      </c>
      <c r="O83" s="4">
        <v>0</v>
      </c>
      <c r="P83" s="24">
        <v>-126</v>
      </c>
      <c r="Q83" s="4">
        <v>0</v>
      </c>
      <c r="R83" s="4">
        <v>7999764</v>
      </c>
      <c r="S83" s="4">
        <v>0</v>
      </c>
      <c r="T83" s="4">
        <v>-19764</v>
      </c>
      <c r="U83" s="24">
        <v>-19764</v>
      </c>
      <c r="V83" s="4">
        <v>110891</v>
      </c>
      <c r="W83" s="11">
        <v>45397</v>
      </c>
      <c r="X83" s="2"/>
      <c r="Y83" s="5" t="s">
        <v>3</v>
      </c>
      <c r="Z83" s="5" t="s">
        <v>2335</v>
      </c>
      <c r="AA83" s="5" t="s">
        <v>3</v>
      </c>
      <c r="AB83" s="16" t="s">
        <v>3</v>
      </c>
    </row>
    <row r="84" spans="2:28" x14ac:dyDescent="0.25">
      <c r="B84" s="18" t="s">
        <v>1564</v>
      </c>
      <c r="C84" s="44" t="s">
        <v>3044</v>
      </c>
      <c r="D84" s="20" t="s">
        <v>1259</v>
      </c>
      <c r="E84" s="51" t="s">
        <v>3</v>
      </c>
      <c r="F84" s="11">
        <v>43952</v>
      </c>
      <c r="G84" s="5" t="s">
        <v>4397</v>
      </c>
      <c r="H84" s="2"/>
      <c r="I84" s="4">
        <v>5396875</v>
      </c>
      <c r="J84" s="4">
        <v>5500000</v>
      </c>
      <c r="K84" s="4">
        <v>5499838</v>
      </c>
      <c r="L84" s="4">
        <v>5499824</v>
      </c>
      <c r="M84" s="4">
        <v>0</v>
      </c>
      <c r="N84" s="4">
        <v>-53</v>
      </c>
      <c r="O84" s="4">
        <v>0</v>
      </c>
      <c r="P84" s="24">
        <v>-53</v>
      </c>
      <c r="Q84" s="4">
        <v>0</v>
      </c>
      <c r="R84" s="4">
        <v>5499771</v>
      </c>
      <c r="S84" s="4">
        <v>0</v>
      </c>
      <c r="T84" s="4">
        <v>-102896</v>
      </c>
      <c r="U84" s="24">
        <v>-102896</v>
      </c>
      <c r="V84" s="4">
        <v>63097</v>
      </c>
      <c r="W84" s="11">
        <v>45245</v>
      </c>
      <c r="X84" s="2"/>
      <c r="Y84" s="5" t="s">
        <v>3</v>
      </c>
      <c r="Z84" s="5" t="s">
        <v>2335</v>
      </c>
      <c r="AA84" s="5" t="s">
        <v>3045</v>
      </c>
      <c r="AB84" s="16" t="s">
        <v>3</v>
      </c>
    </row>
    <row r="85" spans="2:28" x14ac:dyDescent="0.25">
      <c r="B85" s="18" t="s">
        <v>2648</v>
      </c>
      <c r="C85" s="44" t="s">
        <v>2196</v>
      </c>
      <c r="D85" s="20" t="s">
        <v>1067</v>
      </c>
      <c r="E85" s="51" t="s">
        <v>3</v>
      </c>
      <c r="F85" s="11">
        <v>43949</v>
      </c>
      <c r="G85" s="5" t="s">
        <v>4397</v>
      </c>
      <c r="H85" s="2"/>
      <c r="I85" s="4">
        <v>5968800</v>
      </c>
      <c r="J85" s="4">
        <v>6000000</v>
      </c>
      <c r="K85" s="4">
        <v>5998429</v>
      </c>
      <c r="L85" s="4">
        <v>5999214</v>
      </c>
      <c r="M85" s="4">
        <v>0</v>
      </c>
      <c r="N85" s="4">
        <v>83</v>
      </c>
      <c r="O85" s="4">
        <v>0</v>
      </c>
      <c r="P85" s="24">
        <v>83</v>
      </c>
      <c r="Q85" s="4">
        <v>0</v>
      </c>
      <c r="R85" s="4">
        <v>5999297</v>
      </c>
      <c r="S85" s="4">
        <v>0</v>
      </c>
      <c r="T85" s="4">
        <v>-30497</v>
      </c>
      <c r="U85" s="24">
        <v>-30497</v>
      </c>
      <c r="V85" s="4">
        <v>66150</v>
      </c>
      <c r="W85" s="11">
        <v>44941</v>
      </c>
      <c r="X85" s="2"/>
      <c r="Y85" s="5" t="s">
        <v>3</v>
      </c>
      <c r="Z85" s="5" t="s">
        <v>2335</v>
      </c>
      <c r="AA85" s="5" t="s">
        <v>2335</v>
      </c>
      <c r="AB85" s="16" t="s">
        <v>3</v>
      </c>
    </row>
    <row r="86" spans="2:28" x14ac:dyDescent="0.25">
      <c r="B86" s="18" t="s">
        <v>4120</v>
      </c>
      <c r="C86" s="44" t="s">
        <v>219</v>
      </c>
      <c r="D86" s="20" t="s">
        <v>1067</v>
      </c>
      <c r="E86" s="51" t="s">
        <v>3</v>
      </c>
      <c r="F86" s="11">
        <v>43997</v>
      </c>
      <c r="G86" s="5" t="s">
        <v>2686</v>
      </c>
      <c r="H86" s="2"/>
      <c r="I86" s="4">
        <v>7700000</v>
      </c>
      <c r="J86" s="4">
        <v>7700000</v>
      </c>
      <c r="K86" s="4">
        <v>7699625</v>
      </c>
      <c r="L86" s="4">
        <v>7699721</v>
      </c>
      <c r="M86" s="4">
        <v>0</v>
      </c>
      <c r="N86" s="4">
        <v>279</v>
      </c>
      <c r="O86" s="4">
        <v>0</v>
      </c>
      <c r="P86" s="24">
        <v>279</v>
      </c>
      <c r="Q86" s="4">
        <v>0</v>
      </c>
      <c r="R86" s="4">
        <v>7700000</v>
      </c>
      <c r="S86" s="4">
        <v>0</v>
      </c>
      <c r="T86" s="4">
        <v>0</v>
      </c>
      <c r="U86" s="24">
        <v>0</v>
      </c>
      <c r="V86" s="4">
        <v>98560</v>
      </c>
      <c r="W86" s="11">
        <v>44607</v>
      </c>
      <c r="X86" s="2"/>
      <c r="Y86" s="5" t="s">
        <v>3</v>
      </c>
      <c r="Z86" s="5" t="s">
        <v>2335</v>
      </c>
      <c r="AA86" s="5" t="s">
        <v>2335</v>
      </c>
      <c r="AB86" s="16" t="s">
        <v>3</v>
      </c>
    </row>
    <row r="87" spans="2:28" x14ac:dyDescent="0.25">
      <c r="B87" s="18" t="s">
        <v>811</v>
      </c>
      <c r="C87" s="44" t="s">
        <v>3813</v>
      </c>
      <c r="D87" s="20" t="s">
        <v>2335</v>
      </c>
      <c r="E87" s="51" t="s">
        <v>3</v>
      </c>
      <c r="F87" s="11">
        <v>43951</v>
      </c>
      <c r="G87" s="5" t="s">
        <v>1104</v>
      </c>
      <c r="H87" s="2"/>
      <c r="I87" s="4">
        <v>7231875</v>
      </c>
      <c r="J87" s="4">
        <v>7250000</v>
      </c>
      <c r="K87" s="4">
        <v>7351791</v>
      </c>
      <c r="L87" s="4">
        <v>7334771</v>
      </c>
      <c r="M87" s="4">
        <v>0</v>
      </c>
      <c r="N87" s="4">
        <v>-7048</v>
      </c>
      <c r="O87" s="4">
        <v>0</v>
      </c>
      <c r="P87" s="24">
        <v>-7048</v>
      </c>
      <c r="Q87" s="4">
        <v>0</v>
      </c>
      <c r="R87" s="4">
        <v>7327723</v>
      </c>
      <c r="S87" s="4">
        <v>0</v>
      </c>
      <c r="T87" s="4">
        <v>-95848</v>
      </c>
      <c r="U87" s="24">
        <v>-95848</v>
      </c>
      <c r="V87" s="4">
        <v>107773</v>
      </c>
      <c r="W87" s="11">
        <v>45488</v>
      </c>
      <c r="X87" s="2"/>
      <c r="Y87" s="5" t="s">
        <v>3</v>
      </c>
      <c r="Z87" s="5" t="s">
        <v>2335</v>
      </c>
      <c r="AA87" s="5" t="s">
        <v>3</v>
      </c>
      <c r="AB87" s="16" t="s">
        <v>3</v>
      </c>
    </row>
    <row r="88" spans="2:28" x14ac:dyDescent="0.25">
      <c r="B88" s="18" t="s">
        <v>1912</v>
      </c>
      <c r="C88" s="44" t="s">
        <v>2691</v>
      </c>
      <c r="D88" s="20" t="s">
        <v>2335</v>
      </c>
      <c r="E88" s="51" t="s">
        <v>3</v>
      </c>
      <c r="F88" s="11">
        <v>43952</v>
      </c>
      <c r="G88" s="5" t="s">
        <v>4397</v>
      </c>
      <c r="H88" s="2"/>
      <c r="I88" s="4">
        <v>8095313</v>
      </c>
      <c r="J88" s="4">
        <v>8250000</v>
      </c>
      <c r="K88" s="4">
        <v>8247542</v>
      </c>
      <c r="L88" s="4">
        <v>8247712</v>
      </c>
      <c r="M88" s="4">
        <v>0</v>
      </c>
      <c r="N88" s="4">
        <v>153</v>
      </c>
      <c r="O88" s="4">
        <v>0</v>
      </c>
      <c r="P88" s="24">
        <v>153</v>
      </c>
      <c r="Q88" s="4">
        <v>0</v>
      </c>
      <c r="R88" s="4">
        <v>8247865</v>
      </c>
      <c r="S88" s="4">
        <v>0</v>
      </c>
      <c r="T88" s="4">
        <v>-152552</v>
      </c>
      <c r="U88" s="24">
        <v>-152552</v>
      </c>
      <c r="V88" s="4">
        <v>83417</v>
      </c>
      <c r="W88" s="11">
        <v>45824</v>
      </c>
      <c r="X88" s="2"/>
      <c r="Y88" s="5" t="s">
        <v>3</v>
      </c>
      <c r="Z88" s="5" t="s">
        <v>2335</v>
      </c>
      <c r="AA88" s="5" t="s">
        <v>3</v>
      </c>
      <c r="AB88" s="16" t="s">
        <v>3</v>
      </c>
    </row>
    <row r="89" spans="2:28" x14ac:dyDescent="0.25">
      <c r="B89" s="18" t="s">
        <v>3767</v>
      </c>
      <c r="C89" s="44" t="s">
        <v>1953</v>
      </c>
      <c r="D89" s="20" t="s">
        <v>2335</v>
      </c>
      <c r="E89" s="51" t="s">
        <v>3</v>
      </c>
      <c r="F89" s="11">
        <v>43952</v>
      </c>
      <c r="G89" s="5" t="s">
        <v>4397</v>
      </c>
      <c r="H89" s="2"/>
      <c r="I89" s="4">
        <v>10990000</v>
      </c>
      <c r="J89" s="4">
        <v>11200000</v>
      </c>
      <c r="K89" s="4">
        <v>11197880</v>
      </c>
      <c r="L89" s="4">
        <v>11198136</v>
      </c>
      <c r="M89" s="4">
        <v>0</v>
      </c>
      <c r="N89" s="4">
        <v>142</v>
      </c>
      <c r="O89" s="4">
        <v>0</v>
      </c>
      <c r="P89" s="24">
        <v>142</v>
      </c>
      <c r="Q89" s="4">
        <v>0</v>
      </c>
      <c r="R89" s="4">
        <v>11198278</v>
      </c>
      <c r="S89" s="4">
        <v>0</v>
      </c>
      <c r="T89" s="4">
        <v>-208278</v>
      </c>
      <c r="U89" s="24">
        <v>-208278</v>
      </c>
      <c r="V89" s="4">
        <v>137636</v>
      </c>
      <c r="W89" s="11">
        <v>45706</v>
      </c>
      <c r="X89" s="2"/>
      <c r="Y89" s="5" t="s">
        <v>3</v>
      </c>
      <c r="Z89" s="5" t="s">
        <v>2335</v>
      </c>
      <c r="AA89" s="5" t="s">
        <v>3</v>
      </c>
      <c r="AB89" s="16" t="s">
        <v>3</v>
      </c>
    </row>
    <row r="90" spans="2:28" x14ac:dyDescent="0.25">
      <c r="B90" s="18" t="s">
        <v>489</v>
      </c>
      <c r="C90" s="44" t="s">
        <v>3284</v>
      </c>
      <c r="D90" s="20" t="s">
        <v>3507</v>
      </c>
      <c r="E90" s="51" t="s">
        <v>3</v>
      </c>
      <c r="F90" s="11">
        <v>44130</v>
      </c>
      <c r="G90" s="5" t="s">
        <v>4421</v>
      </c>
      <c r="H90" s="2"/>
      <c r="I90" s="4">
        <v>2023760</v>
      </c>
      <c r="J90" s="4">
        <v>2000000</v>
      </c>
      <c r="K90" s="4">
        <v>2045000</v>
      </c>
      <c r="L90" s="4">
        <v>2013504</v>
      </c>
      <c r="M90" s="4">
        <v>0</v>
      </c>
      <c r="N90" s="4">
        <v>-13504</v>
      </c>
      <c r="O90" s="4">
        <v>0</v>
      </c>
      <c r="P90" s="24">
        <v>-13504</v>
      </c>
      <c r="Q90" s="4">
        <v>0</v>
      </c>
      <c r="R90" s="4">
        <v>2023760</v>
      </c>
      <c r="S90" s="4">
        <v>0</v>
      </c>
      <c r="T90" s="4">
        <v>0</v>
      </c>
      <c r="U90" s="24">
        <v>0</v>
      </c>
      <c r="V90" s="4">
        <v>113746</v>
      </c>
      <c r="W90" s="11">
        <v>44696</v>
      </c>
      <c r="X90" s="2"/>
      <c r="Y90" s="5" t="s">
        <v>57</v>
      </c>
      <c r="Z90" s="5" t="s">
        <v>2772</v>
      </c>
      <c r="AA90" s="5" t="s">
        <v>3</v>
      </c>
      <c r="AB90" s="16" t="s">
        <v>3</v>
      </c>
    </row>
    <row r="91" spans="2:28" x14ac:dyDescent="0.25">
      <c r="B91" s="18" t="s">
        <v>1565</v>
      </c>
      <c r="C91" s="44" t="s">
        <v>2405</v>
      </c>
      <c r="D91" s="20" t="s">
        <v>857</v>
      </c>
      <c r="E91" s="51" t="s">
        <v>3</v>
      </c>
      <c r="F91" s="11">
        <v>43959</v>
      </c>
      <c r="G91" s="5" t="s">
        <v>4396</v>
      </c>
      <c r="H91" s="2"/>
      <c r="I91" s="4">
        <v>3967922</v>
      </c>
      <c r="J91" s="4">
        <v>4000000</v>
      </c>
      <c r="K91" s="4">
        <v>3966400</v>
      </c>
      <c r="L91" s="4">
        <v>3966609</v>
      </c>
      <c r="M91" s="4">
        <v>0</v>
      </c>
      <c r="N91" s="4">
        <v>1313</v>
      </c>
      <c r="O91" s="4">
        <v>0</v>
      </c>
      <c r="P91" s="24">
        <v>1313</v>
      </c>
      <c r="Q91" s="4">
        <v>0</v>
      </c>
      <c r="R91" s="4">
        <v>3967922</v>
      </c>
      <c r="S91" s="4">
        <v>0</v>
      </c>
      <c r="T91" s="4">
        <v>0</v>
      </c>
      <c r="U91" s="24">
        <v>0</v>
      </c>
      <c r="V91" s="4">
        <v>0</v>
      </c>
      <c r="W91" s="11">
        <v>46736</v>
      </c>
      <c r="X91" s="2"/>
      <c r="Y91" s="5" t="s">
        <v>57</v>
      </c>
      <c r="Z91" s="5" t="s">
        <v>2772</v>
      </c>
      <c r="AA91" s="5" t="s">
        <v>928</v>
      </c>
      <c r="AB91" s="16" t="s">
        <v>3</v>
      </c>
    </row>
    <row r="92" spans="2:28" x14ac:dyDescent="0.25">
      <c r="B92" s="18" t="s">
        <v>2649</v>
      </c>
      <c r="C92" s="44" t="s">
        <v>4422</v>
      </c>
      <c r="D92" s="20" t="s">
        <v>858</v>
      </c>
      <c r="E92" s="51" t="s">
        <v>3</v>
      </c>
      <c r="F92" s="11">
        <v>43977</v>
      </c>
      <c r="G92" s="5" t="s">
        <v>2994</v>
      </c>
      <c r="H92" s="2"/>
      <c r="I92" s="4">
        <v>28944971</v>
      </c>
      <c r="J92" s="4">
        <v>28971000</v>
      </c>
      <c r="K92" s="4">
        <v>28993634</v>
      </c>
      <c r="L92" s="4">
        <v>28993257</v>
      </c>
      <c r="M92" s="4">
        <v>0</v>
      </c>
      <c r="N92" s="4">
        <v>-7000</v>
      </c>
      <c r="O92" s="4">
        <v>0</v>
      </c>
      <c r="P92" s="24">
        <v>-7000</v>
      </c>
      <c r="Q92" s="4">
        <v>0</v>
      </c>
      <c r="R92" s="4">
        <v>28986257</v>
      </c>
      <c r="S92" s="4">
        <v>0</v>
      </c>
      <c r="T92" s="4">
        <v>-41286</v>
      </c>
      <c r="U92" s="24">
        <v>-41286</v>
      </c>
      <c r="V92" s="4">
        <v>188883</v>
      </c>
      <c r="W92" s="11">
        <v>45033</v>
      </c>
      <c r="X92" s="2"/>
      <c r="Y92" s="5" t="s">
        <v>3</v>
      </c>
      <c r="Z92" s="5" t="s">
        <v>4171</v>
      </c>
      <c r="AA92" s="5" t="s">
        <v>2692</v>
      </c>
      <c r="AB92" s="16" t="s">
        <v>3</v>
      </c>
    </row>
    <row r="93" spans="2:28" x14ac:dyDescent="0.25">
      <c r="B93" s="18" t="s">
        <v>3768</v>
      </c>
      <c r="C93" s="44" t="s">
        <v>761</v>
      </c>
      <c r="D93" s="20" t="s">
        <v>3446</v>
      </c>
      <c r="E93" s="51" t="s">
        <v>3</v>
      </c>
      <c r="F93" s="11">
        <v>43977</v>
      </c>
      <c r="G93" s="5" t="s">
        <v>1293</v>
      </c>
      <c r="H93" s="2"/>
      <c r="I93" s="4">
        <v>28035852</v>
      </c>
      <c r="J93" s="4">
        <v>28049000</v>
      </c>
      <c r="K93" s="4">
        <v>28121314</v>
      </c>
      <c r="L93" s="4">
        <v>28120728</v>
      </c>
      <c r="M93" s="4">
        <v>0</v>
      </c>
      <c r="N93" s="4">
        <v>-11125</v>
      </c>
      <c r="O93" s="4">
        <v>0</v>
      </c>
      <c r="P93" s="24">
        <v>-11125</v>
      </c>
      <c r="Q93" s="4">
        <v>0</v>
      </c>
      <c r="R93" s="4">
        <v>28109603</v>
      </c>
      <c r="S93" s="4">
        <v>0</v>
      </c>
      <c r="T93" s="4">
        <v>-73751</v>
      </c>
      <c r="U93" s="24">
        <v>-73751</v>
      </c>
      <c r="V93" s="4">
        <v>217709</v>
      </c>
      <c r="W93" s="11">
        <v>45512</v>
      </c>
      <c r="X93" s="2"/>
      <c r="Y93" s="5" t="s">
        <v>3</v>
      </c>
      <c r="Z93" s="5" t="s">
        <v>2336</v>
      </c>
      <c r="AA93" s="5" t="s">
        <v>2336</v>
      </c>
      <c r="AB93" s="16" t="s">
        <v>3</v>
      </c>
    </row>
    <row r="94" spans="2:28" x14ac:dyDescent="0.25">
      <c r="B94" s="18" t="s">
        <v>813</v>
      </c>
      <c r="C94" s="44" t="s">
        <v>1494</v>
      </c>
      <c r="D94" s="20" t="s">
        <v>4358</v>
      </c>
      <c r="E94" s="51" t="s">
        <v>3</v>
      </c>
      <c r="F94" s="11">
        <v>43978</v>
      </c>
      <c r="G94" s="5" t="s">
        <v>191</v>
      </c>
      <c r="H94" s="2"/>
      <c r="I94" s="4">
        <v>10000781</v>
      </c>
      <c r="J94" s="4">
        <v>10000000</v>
      </c>
      <c r="K94" s="4">
        <v>10003125</v>
      </c>
      <c r="L94" s="4">
        <v>10003098</v>
      </c>
      <c r="M94" s="4">
        <v>0</v>
      </c>
      <c r="N94" s="4">
        <v>-410</v>
      </c>
      <c r="O94" s="4">
        <v>0</v>
      </c>
      <c r="P94" s="24">
        <v>-410</v>
      </c>
      <c r="Q94" s="4">
        <v>0</v>
      </c>
      <c r="R94" s="4">
        <v>10002688</v>
      </c>
      <c r="S94" s="4">
        <v>0</v>
      </c>
      <c r="T94" s="4">
        <v>-1907</v>
      </c>
      <c r="U94" s="24">
        <v>-1907</v>
      </c>
      <c r="V94" s="4">
        <v>70566</v>
      </c>
      <c r="W94" s="11">
        <v>45677</v>
      </c>
      <c r="X94" s="2"/>
      <c r="Y94" s="5" t="s">
        <v>3</v>
      </c>
      <c r="Z94" s="5" t="s">
        <v>2336</v>
      </c>
      <c r="AA94" s="5" t="s">
        <v>3225</v>
      </c>
      <c r="AB94" s="16" t="s">
        <v>3</v>
      </c>
    </row>
    <row r="95" spans="2:28" x14ac:dyDescent="0.25">
      <c r="B95" s="18" t="s">
        <v>1913</v>
      </c>
      <c r="C95" s="44" t="s">
        <v>1195</v>
      </c>
      <c r="D95" s="20" t="s">
        <v>2485</v>
      </c>
      <c r="E95" s="51" t="s">
        <v>3</v>
      </c>
      <c r="F95" s="11">
        <v>43913</v>
      </c>
      <c r="G95" s="5" t="s">
        <v>526</v>
      </c>
      <c r="H95" s="2"/>
      <c r="I95" s="4">
        <v>3014221</v>
      </c>
      <c r="J95" s="4">
        <v>3014221</v>
      </c>
      <c r="K95" s="4">
        <v>3014221</v>
      </c>
      <c r="L95" s="4">
        <v>3014221</v>
      </c>
      <c r="M95" s="4">
        <v>0</v>
      </c>
      <c r="N95" s="4">
        <v>0</v>
      </c>
      <c r="O95" s="4">
        <v>0</v>
      </c>
      <c r="P95" s="24">
        <v>0</v>
      </c>
      <c r="Q95" s="4">
        <v>0</v>
      </c>
      <c r="R95" s="4">
        <v>3014221</v>
      </c>
      <c r="S95" s="4">
        <v>0</v>
      </c>
      <c r="T95" s="4">
        <v>0</v>
      </c>
      <c r="U95" s="24">
        <v>0</v>
      </c>
      <c r="V95" s="4">
        <v>58034</v>
      </c>
      <c r="W95" s="11">
        <v>44799</v>
      </c>
      <c r="X95" s="2"/>
      <c r="Y95" s="5" t="s">
        <v>3</v>
      </c>
      <c r="Z95" s="5" t="s">
        <v>1694</v>
      </c>
      <c r="AA95" s="5" t="s">
        <v>1694</v>
      </c>
      <c r="AB95" s="16" t="s">
        <v>3</v>
      </c>
    </row>
    <row r="96" spans="2:28" x14ac:dyDescent="0.25">
      <c r="B96" s="18" t="s">
        <v>2997</v>
      </c>
      <c r="C96" s="44" t="s">
        <v>2406</v>
      </c>
      <c r="D96" s="20" t="s">
        <v>1129</v>
      </c>
      <c r="E96" s="51" t="s">
        <v>3</v>
      </c>
      <c r="F96" s="11">
        <v>43983</v>
      </c>
      <c r="G96" s="5" t="s">
        <v>848</v>
      </c>
      <c r="H96" s="2"/>
      <c r="I96" s="4">
        <v>2000000</v>
      </c>
      <c r="J96" s="4">
        <v>2000000</v>
      </c>
      <c r="K96" s="4">
        <v>1997064</v>
      </c>
      <c r="L96" s="4">
        <v>1999683</v>
      </c>
      <c r="M96" s="4">
        <v>0</v>
      </c>
      <c r="N96" s="4">
        <v>317</v>
      </c>
      <c r="O96" s="4">
        <v>0</v>
      </c>
      <c r="P96" s="24">
        <v>317</v>
      </c>
      <c r="Q96" s="4">
        <v>0</v>
      </c>
      <c r="R96" s="4">
        <v>2000000</v>
      </c>
      <c r="S96" s="4">
        <v>0</v>
      </c>
      <c r="T96" s="4">
        <v>0</v>
      </c>
      <c r="U96" s="24">
        <v>0</v>
      </c>
      <c r="V96" s="4">
        <v>33000</v>
      </c>
      <c r="W96" s="11">
        <v>43983</v>
      </c>
      <c r="X96" s="2"/>
      <c r="Y96" s="5" t="s">
        <v>220</v>
      </c>
      <c r="Z96" s="5" t="s">
        <v>221</v>
      </c>
      <c r="AA96" s="5" t="s">
        <v>2042</v>
      </c>
      <c r="AB96" s="16" t="s">
        <v>3</v>
      </c>
    </row>
    <row r="97" spans="2:28" x14ac:dyDescent="0.25">
      <c r="B97" s="18" t="s">
        <v>4123</v>
      </c>
      <c r="C97" s="44" t="s">
        <v>3508</v>
      </c>
      <c r="D97" s="20" t="s">
        <v>1319</v>
      </c>
      <c r="E97" s="51" t="s">
        <v>3</v>
      </c>
      <c r="F97" s="11">
        <v>43984</v>
      </c>
      <c r="G97" s="5" t="s">
        <v>848</v>
      </c>
      <c r="H97" s="2"/>
      <c r="I97" s="4">
        <v>2000000</v>
      </c>
      <c r="J97" s="4">
        <v>2000000</v>
      </c>
      <c r="K97" s="4">
        <v>1998781</v>
      </c>
      <c r="L97" s="4">
        <v>1999888</v>
      </c>
      <c r="M97" s="4">
        <v>0</v>
      </c>
      <c r="N97" s="4">
        <v>112</v>
      </c>
      <c r="O97" s="4">
        <v>0</v>
      </c>
      <c r="P97" s="24">
        <v>112</v>
      </c>
      <c r="Q97" s="4">
        <v>0</v>
      </c>
      <c r="R97" s="4">
        <v>2000000</v>
      </c>
      <c r="S97" s="4">
        <v>0</v>
      </c>
      <c r="T97" s="4">
        <v>0</v>
      </c>
      <c r="U97" s="24">
        <v>0</v>
      </c>
      <c r="V97" s="4">
        <v>25000</v>
      </c>
      <c r="W97" s="11">
        <v>43984</v>
      </c>
      <c r="X97" s="2"/>
      <c r="Y97" s="5" t="s">
        <v>1196</v>
      </c>
      <c r="Z97" s="5" t="s">
        <v>3113</v>
      </c>
      <c r="AA97" s="5" t="s">
        <v>3</v>
      </c>
      <c r="AB97" s="16" t="s">
        <v>3</v>
      </c>
    </row>
    <row r="98" spans="2:28" x14ac:dyDescent="0.25">
      <c r="B98" s="18" t="s">
        <v>814</v>
      </c>
      <c r="C98" s="44" t="s">
        <v>859</v>
      </c>
      <c r="D98" s="20" t="s">
        <v>860</v>
      </c>
      <c r="E98" s="51" t="s">
        <v>3</v>
      </c>
      <c r="F98" s="11">
        <v>44083</v>
      </c>
      <c r="G98" s="5" t="s">
        <v>1130</v>
      </c>
      <c r="H98" s="2"/>
      <c r="I98" s="4">
        <v>5164050</v>
      </c>
      <c r="J98" s="4">
        <v>5000000</v>
      </c>
      <c r="K98" s="4">
        <v>4932900</v>
      </c>
      <c r="L98" s="4">
        <v>4943519</v>
      </c>
      <c r="M98" s="4">
        <v>0</v>
      </c>
      <c r="N98" s="4">
        <v>56481</v>
      </c>
      <c r="O98" s="4">
        <v>0</v>
      </c>
      <c r="P98" s="24">
        <v>56481</v>
      </c>
      <c r="Q98" s="4">
        <v>0</v>
      </c>
      <c r="R98" s="4">
        <v>5164050</v>
      </c>
      <c r="S98" s="4">
        <v>0</v>
      </c>
      <c r="T98" s="4">
        <v>0</v>
      </c>
      <c r="U98" s="24">
        <v>0</v>
      </c>
      <c r="V98" s="4">
        <v>415613</v>
      </c>
      <c r="W98" s="11">
        <v>45672</v>
      </c>
      <c r="X98" s="2"/>
      <c r="Y98" s="5" t="s">
        <v>3586</v>
      </c>
      <c r="Z98" s="5" t="s">
        <v>2487</v>
      </c>
      <c r="AA98" s="5" t="s">
        <v>3</v>
      </c>
      <c r="AB98" s="16" t="s">
        <v>3</v>
      </c>
    </row>
    <row r="99" spans="2:28" x14ac:dyDescent="0.25">
      <c r="B99" s="18" t="s">
        <v>2650</v>
      </c>
      <c r="C99" s="44" t="s">
        <v>222</v>
      </c>
      <c r="D99" s="20" t="s">
        <v>2489</v>
      </c>
      <c r="E99" s="51" t="s">
        <v>3</v>
      </c>
      <c r="F99" s="11">
        <v>44145</v>
      </c>
      <c r="G99" s="5" t="s">
        <v>191</v>
      </c>
      <c r="H99" s="2"/>
      <c r="I99" s="4">
        <v>827063</v>
      </c>
      <c r="J99" s="4">
        <v>825000</v>
      </c>
      <c r="K99" s="4">
        <v>832887</v>
      </c>
      <c r="L99" s="4">
        <v>826705</v>
      </c>
      <c r="M99" s="4">
        <v>0</v>
      </c>
      <c r="N99" s="4">
        <v>-1705</v>
      </c>
      <c r="O99" s="4">
        <v>0</v>
      </c>
      <c r="P99" s="24">
        <v>-1705</v>
      </c>
      <c r="Q99" s="4">
        <v>0</v>
      </c>
      <c r="R99" s="4">
        <v>825000</v>
      </c>
      <c r="S99" s="4">
        <v>0</v>
      </c>
      <c r="T99" s="4">
        <v>2063</v>
      </c>
      <c r="U99" s="24">
        <v>2063</v>
      </c>
      <c r="V99" s="4">
        <v>47781</v>
      </c>
      <c r="W99" s="11">
        <v>44819</v>
      </c>
      <c r="X99" s="2"/>
      <c r="Y99" s="5" t="s">
        <v>1698</v>
      </c>
      <c r="Z99" s="5" t="s">
        <v>2489</v>
      </c>
      <c r="AA99" s="5" t="s">
        <v>3</v>
      </c>
      <c r="AB99" s="16" t="s">
        <v>3</v>
      </c>
    </row>
    <row r="100" spans="2:28" x14ac:dyDescent="0.25">
      <c r="B100" s="18" t="s">
        <v>3769</v>
      </c>
      <c r="C100" s="44" t="s">
        <v>3285</v>
      </c>
      <c r="D100" s="20" t="s">
        <v>1607</v>
      </c>
      <c r="E100" s="51" t="s">
        <v>3</v>
      </c>
      <c r="F100" s="11">
        <v>44021</v>
      </c>
      <c r="G100" s="5" t="s">
        <v>223</v>
      </c>
      <c r="H100" s="2"/>
      <c r="I100" s="4">
        <v>2532641</v>
      </c>
      <c r="J100" s="4">
        <v>2500000</v>
      </c>
      <c r="K100" s="4">
        <v>2490000</v>
      </c>
      <c r="L100" s="4">
        <v>2499010</v>
      </c>
      <c r="M100" s="4">
        <v>0</v>
      </c>
      <c r="N100" s="4">
        <v>989.4</v>
      </c>
      <c r="O100" s="4">
        <v>0</v>
      </c>
      <c r="P100" s="24">
        <v>989.4</v>
      </c>
      <c r="Q100" s="4">
        <v>0</v>
      </c>
      <c r="R100" s="4">
        <v>2532641</v>
      </c>
      <c r="S100" s="4">
        <v>0</v>
      </c>
      <c r="T100" s="4">
        <v>0</v>
      </c>
      <c r="U100" s="24">
        <v>0</v>
      </c>
      <c r="V100" s="4">
        <v>112293.6</v>
      </c>
      <c r="W100" s="11">
        <v>44136</v>
      </c>
      <c r="X100" s="2"/>
      <c r="Y100" s="5" t="s">
        <v>2815</v>
      </c>
      <c r="Z100" s="5" t="s">
        <v>1207</v>
      </c>
      <c r="AA100" s="5" t="s">
        <v>3</v>
      </c>
      <c r="AB100" s="16" t="s">
        <v>3</v>
      </c>
    </row>
    <row r="101" spans="2:28" x14ac:dyDescent="0.25">
      <c r="B101" s="18" t="s">
        <v>491</v>
      </c>
      <c r="C101" s="44" t="s">
        <v>3046</v>
      </c>
      <c r="D101" s="20" t="s">
        <v>3355</v>
      </c>
      <c r="E101" s="51" t="s">
        <v>3</v>
      </c>
      <c r="F101" s="11">
        <v>44018</v>
      </c>
      <c r="G101" s="5" t="s">
        <v>1954</v>
      </c>
      <c r="H101" s="2"/>
      <c r="I101" s="4">
        <v>2031140</v>
      </c>
      <c r="J101" s="4">
        <v>2000000</v>
      </c>
      <c r="K101" s="4">
        <v>2052740</v>
      </c>
      <c r="L101" s="4">
        <v>2012307</v>
      </c>
      <c r="M101" s="4">
        <v>0</v>
      </c>
      <c r="N101" s="4">
        <v>-12307</v>
      </c>
      <c r="O101" s="4">
        <v>0</v>
      </c>
      <c r="P101" s="24">
        <v>-12307</v>
      </c>
      <c r="Q101" s="4">
        <v>0</v>
      </c>
      <c r="R101" s="4">
        <v>2031140</v>
      </c>
      <c r="S101" s="4">
        <v>0</v>
      </c>
      <c r="T101" s="4">
        <v>0</v>
      </c>
      <c r="U101" s="24">
        <v>0</v>
      </c>
      <c r="V101" s="4">
        <v>91773</v>
      </c>
      <c r="W101" s="11">
        <v>44242</v>
      </c>
      <c r="X101" s="2"/>
      <c r="Y101" s="5" t="s">
        <v>607</v>
      </c>
      <c r="Z101" s="5" t="s">
        <v>3355</v>
      </c>
      <c r="AA101" s="5" t="s">
        <v>3</v>
      </c>
      <c r="AB101" s="16" t="s">
        <v>3</v>
      </c>
    </row>
    <row r="102" spans="2:28" x14ac:dyDescent="0.25">
      <c r="B102" s="18" t="s">
        <v>1566</v>
      </c>
      <c r="C102" s="44" t="s">
        <v>3047</v>
      </c>
      <c r="D102" s="20" t="s">
        <v>3355</v>
      </c>
      <c r="E102" s="51" t="s">
        <v>3</v>
      </c>
      <c r="F102" s="11">
        <v>44018</v>
      </c>
      <c r="G102" s="5" t="s">
        <v>3509</v>
      </c>
      <c r="H102" s="2"/>
      <c r="I102" s="4">
        <v>2040240</v>
      </c>
      <c r="J102" s="4">
        <v>2000000</v>
      </c>
      <c r="K102" s="4">
        <v>1999440</v>
      </c>
      <c r="L102" s="4">
        <v>1999806</v>
      </c>
      <c r="M102" s="4">
        <v>0</v>
      </c>
      <c r="N102" s="4">
        <v>194</v>
      </c>
      <c r="O102" s="4">
        <v>0</v>
      </c>
      <c r="P102" s="24">
        <v>194</v>
      </c>
      <c r="Q102" s="4">
        <v>0</v>
      </c>
      <c r="R102" s="4">
        <v>2040240</v>
      </c>
      <c r="S102" s="4">
        <v>0</v>
      </c>
      <c r="T102" s="4">
        <v>0</v>
      </c>
      <c r="U102" s="24">
        <v>0</v>
      </c>
      <c r="V102" s="4">
        <v>78365</v>
      </c>
      <c r="W102" s="11">
        <v>44440</v>
      </c>
      <c r="X102" s="2"/>
      <c r="Y102" s="5" t="s">
        <v>607</v>
      </c>
      <c r="Z102" s="5" t="s">
        <v>3355</v>
      </c>
      <c r="AA102" s="5" t="s">
        <v>3</v>
      </c>
      <c r="AB102" s="16" t="s">
        <v>3</v>
      </c>
    </row>
    <row r="103" spans="2:28" x14ac:dyDescent="0.25">
      <c r="B103" s="18" t="s">
        <v>2998</v>
      </c>
      <c r="C103" s="44" t="s">
        <v>1495</v>
      </c>
      <c r="D103" s="20" t="s">
        <v>2140</v>
      </c>
      <c r="E103" s="51" t="s">
        <v>3</v>
      </c>
      <c r="F103" s="11">
        <v>44155</v>
      </c>
      <c r="G103" s="5" t="s">
        <v>2686</v>
      </c>
      <c r="H103" s="2"/>
      <c r="I103" s="4">
        <v>30000</v>
      </c>
      <c r="J103" s="4">
        <v>30000</v>
      </c>
      <c r="K103" s="4">
        <v>30000</v>
      </c>
      <c r="L103" s="4">
        <v>30000</v>
      </c>
      <c r="M103" s="4">
        <v>0</v>
      </c>
      <c r="N103" s="4">
        <v>0</v>
      </c>
      <c r="O103" s="4">
        <v>0</v>
      </c>
      <c r="P103" s="24">
        <v>0</v>
      </c>
      <c r="Q103" s="4">
        <v>0</v>
      </c>
      <c r="R103" s="4">
        <v>30000</v>
      </c>
      <c r="S103" s="4">
        <v>0</v>
      </c>
      <c r="T103" s="4">
        <v>0</v>
      </c>
      <c r="U103" s="24">
        <v>0</v>
      </c>
      <c r="V103" s="4">
        <v>726</v>
      </c>
      <c r="W103" s="11">
        <v>54016</v>
      </c>
      <c r="X103" s="2"/>
      <c r="Y103" s="5" t="s">
        <v>3</v>
      </c>
      <c r="Z103" s="5" t="s">
        <v>2141</v>
      </c>
      <c r="AA103" s="5" t="s">
        <v>928</v>
      </c>
      <c r="AB103" s="16" t="s">
        <v>3</v>
      </c>
    </row>
    <row r="104" spans="2:28" x14ac:dyDescent="0.25">
      <c r="B104" s="18" t="s">
        <v>4125</v>
      </c>
      <c r="C104" s="44" t="s">
        <v>2591</v>
      </c>
      <c r="D104" s="20" t="s">
        <v>148</v>
      </c>
      <c r="E104" s="51" t="s">
        <v>3</v>
      </c>
      <c r="F104" s="11">
        <v>44155</v>
      </c>
      <c r="G104" s="5" t="s">
        <v>2686</v>
      </c>
      <c r="H104" s="2"/>
      <c r="I104" s="4">
        <v>37500</v>
      </c>
      <c r="J104" s="4">
        <v>37500</v>
      </c>
      <c r="K104" s="4">
        <v>37500</v>
      </c>
      <c r="L104" s="4">
        <v>37500</v>
      </c>
      <c r="M104" s="4">
        <v>0</v>
      </c>
      <c r="N104" s="4">
        <v>0</v>
      </c>
      <c r="O104" s="4">
        <v>0</v>
      </c>
      <c r="P104" s="24">
        <v>0</v>
      </c>
      <c r="Q104" s="4">
        <v>0</v>
      </c>
      <c r="R104" s="4">
        <v>37500</v>
      </c>
      <c r="S104" s="4">
        <v>0</v>
      </c>
      <c r="T104" s="4">
        <v>0</v>
      </c>
      <c r="U104" s="24">
        <v>0</v>
      </c>
      <c r="V104" s="4">
        <v>947</v>
      </c>
      <c r="W104" s="11">
        <v>54563</v>
      </c>
      <c r="X104" s="2"/>
      <c r="Y104" s="5" t="s">
        <v>3</v>
      </c>
      <c r="Z104" s="5" t="s">
        <v>149</v>
      </c>
      <c r="AA104" s="5" t="s">
        <v>928</v>
      </c>
      <c r="AB104" s="16" t="s">
        <v>3</v>
      </c>
    </row>
    <row r="105" spans="2:28" x14ac:dyDescent="0.25">
      <c r="B105" s="18" t="s">
        <v>816</v>
      </c>
      <c r="C105" s="44" t="s">
        <v>2407</v>
      </c>
      <c r="D105" s="20" t="s">
        <v>4172</v>
      </c>
      <c r="E105" s="51" t="s">
        <v>3</v>
      </c>
      <c r="F105" s="11">
        <v>43892</v>
      </c>
      <c r="G105" s="5" t="s">
        <v>848</v>
      </c>
      <c r="H105" s="2"/>
      <c r="I105" s="4">
        <v>5000000</v>
      </c>
      <c r="J105" s="4">
        <v>5000000</v>
      </c>
      <c r="K105" s="4">
        <v>4988500</v>
      </c>
      <c r="L105" s="4">
        <v>4999590</v>
      </c>
      <c r="M105" s="4">
        <v>0</v>
      </c>
      <c r="N105" s="4">
        <v>410</v>
      </c>
      <c r="O105" s="4">
        <v>0</v>
      </c>
      <c r="P105" s="24">
        <v>410</v>
      </c>
      <c r="Q105" s="4">
        <v>0</v>
      </c>
      <c r="R105" s="4">
        <v>5000000</v>
      </c>
      <c r="S105" s="4">
        <v>0</v>
      </c>
      <c r="T105" s="4">
        <v>0</v>
      </c>
      <c r="U105" s="24">
        <v>0</v>
      </c>
      <c r="V105" s="4">
        <v>56250</v>
      </c>
      <c r="W105" s="11">
        <v>43892</v>
      </c>
      <c r="X105" s="2"/>
      <c r="Y105" s="5" t="s">
        <v>2783</v>
      </c>
      <c r="Z105" s="5" t="s">
        <v>316</v>
      </c>
      <c r="AA105" s="5" t="s">
        <v>2042</v>
      </c>
      <c r="AB105" s="16" t="s">
        <v>3</v>
      </c>
    </row>
    <row r="106" spans="2:28" x14ac:dyDescent="0.25">
      <c r="B106" s="18" t="s">
        <v>1914</v>
      </c>
      <c r="C106" s="44" t="s">
        <v>4173</v>
      </c>
      <c r="D106" s="20" t="s">
        <v>316</v>
      </c>
      <c r="E106" s="51" t="s">
        <v>3</v>
      </c>
      <c r="F106" s="11">
        <v>44046</v>
      </c>
      <c r="G106" s="5" t="s">
        <v>848</v>
      </c>
      <c r="H106" s="2"/>
      <c r="I106" s="4">
        <v>5000000</v>
      </c>
      <c r="J106" s="4">
        <v>5000000</v>
      </c>
      <c r="K106" s="4">
        <v>4990250</v>
      </c>
      <c r="L106" s="4">
        <v>4998783</v>
      </c>
      <c r="M106" s="4">
        <v>0</v>
      </c>
      <c r="N106" s="4">
        <v>1217</v>
      </c>
      <c r="O106" s="4">
        <v>0</v>
      </c>
      <c r="P106" s="24">
        <v>1217</v>
      </c>
      <c r="Q106" s="4">
        <v>0</v>
      </c>
      <c r="R106" s="4">
        <v>5000000</v>
      </c>
      <c r="S106" s="4">
        <v>0</v>
      </c>
      <c r="T106" s="4">
        <v>0</v>
      </c>
      <c r="U106" s="24">
        <v>0</v>
      </c>
      <c r="V106" s="4">
        <v>135000</v>
      </c>
      <c r="W106" s="11">
        <v>44046</v>
      </c>
      <c r="X106" s="2"/>
      <c r="Y106" s="5" t="s">
        <v>2783</v>
      </c>
      <c r="Z106" s="5" t="s">
        <v>316</v>
      </c>
      <c r="AA106" s="5" t="s">
        <v>3</v>
      </c>
      <c r="AB106" s="16" t="s">
        <v>3</v>
      </c>
    </row>
    <row r="107" spans="2:28" x14ac:dyDescent="0.25">
      <c r="B107" s="18" t="s">
        <v>2999</v>
      </c>
      <c r="C107" s="44" t="s">
        <v>4174</v>
      </c>
      <c r="D107" s="20" t="s">
        <v>2337</v>
      </c>
      <c r="E107" s="51" t="s">
        <v>3</v>
      </c>
      <c r="F107" s="11">
        <v>44065</v>
      </c>
      <c r="G107" s="5" t="s">
        <v>2686</v>
      </c>
      <c r="H107" s="2"/>
      <c r="I107" s="4">
        <v>2500000</v>
      </c>
      <c r="J107" s="4">
        <v>2500000</v>
      </c>
      <c r="K107" s="4">
        <v>2489025</v>
      </c>
      <c r="L107" s="4">
        <v>2495455</v>
      </c>
      <c r="M107" s="4">
        <v>0</v>
      </c>
      <c r="N107" s="4">
        <v>4545</v>
      </c>
      <c r="O107" s="4">
        <v>0</v>
      </c>
      <c r="P107" s="24">
        <v>4545</v>
      </c>
      <c r="Q107" s="4">
        <v>0</v>
      </c>
      <c r="R107" s="4">
        <v>2500000</v>
      </c>
      <c r="S107" s="4">
        <v>0</v>
      </c>
      <c r="T107" s="4">
        <v>0</v>
      </c>
      <c r="U107" s="24">
        <v>0</v>
      </c>
      <c r="V107" s="4">
        <v>34204</v>
      </c>
      <c r="W107" s="11">
        <v>44858</v>
      </c>
      <c r="X107" s="2"/>
      <c r="Y107" s="5" t="s">
        <v>3</v>
      </c>
      <c r="Z107" s="5" t="s">
        <v>1261</v>
      </c>
      <c r="AA107" s="5" t="s">
        <v>928</v>
      </c>
      <c r="AB107" s="16" t="s">
        <v>3</v>
      </c>
    </row>
    <row r="108" spans="2:28" x14ac:dyDescent="0.25">
      <c r="B108" s="18" t="s">
        <v>4127</v>
      </c>
      <c r="C108" s="44" t="s">
        <v>3048</v>
      </c>
      <c r="D108" s="20" t="s">
        <v>2337</v>
      </c>
      <c r="E108" s="51" t="s">
        <v>3</v>
      </c>
      <c r="F108" s="11">
        <v>44065</v>
      </c>
      <c r="G108" s="5" t="s">
        <v>2686</v>
      </c>
      <c r="H108" s="2"/>
      <c r="I108" s="4">
        <v>5000000</v>
      </c>
      <c r="J108" s="4">
        <v>5000000</v>
      </c>
      <c r="K108" s="4">
        <v>4986607</v>
      </c>
      <c r="L108" s="4">
        <v>4996009</v>
      </c>
      <c r="M108" s="4">
        <v>0</v>
      </c>
      <c r="N108" s="4">
        <v>3991</v>
      </c>
      <c r="O108" s="4">
        <v>0</v>
      </c>
      <c r="P108" s="24">
        <v>3991</v>
      </c>
      <c r="Q108" s="4">
        <v>0</v>
      </c>
      <c r="R108" s="4">
        <v>5000000</v>
      </c>
      <c r="S108" s="4">
        <v>0</v>
      </c>
      <c r="T108" s="4">
        <v>0</v>
      </c>
      <c r="U108" s="24">
        <v>0</v>
      </c>
      <c r="V108" s="4">
        <v>91000</v>
      </c>
      <c r="W108" s="11">
        <v>44858</v>
      </c>
      <c r="X108" s="2"/>
      <c r="Y108" s="5" t="s">
        <v>3</v>
      </c>
      <c r="Z108" s="5" t="s">
        <v>1261</v>
      </c>
      <c r="AA108" s="5" t="s">
        <v>928</v>
      </c>
      <c r="AB108" s="16" t="s">
        <v>3</v>
      </c>
    </row>
    <row r="109" spans="2:28" x14ac:dyDescent="0.25">
      <c r="B109" s="18" t="s">
        <v>1568</v>
      </c>
      <c r="C109" s="44" t="s">
        <v>3049</v>
      </c>
      <c r="D109" s="20" t="s">
        <v>2337</v>
      </c>
      <c r="E109" s="51" t="s">
        <v>3</v>
      </c>
      <c r="F109" s="11">
        <v>44065</v>
      </c>
      <c r="G109" s="5" t="s">
        <v>2686</v>
      </c>
      <c r="H109" s="2"/>
      <c r="I109" s="4">
        <v>2000000</v>
      </c>
      <c r="J109" s="4">
        <v>2000000</v>
      </c>
      <c r="K109" s="4">
        <v>1999375</v>
      </c>
      <c r="L109" s="4">
        <v>1999758</v>
      </c>
      <c r="M109" s="4">
        <v>0</v>
      </c>
      <c r="N109" s="4">
        <v>242</v>
      </c>
      <c r="O109" s="4">
        <v>0</v>
      </c>
      <c r="P109" s="24">
        <v>242</v>
      </c>
      <c r="Q109" s="4">
        <v>0</v>
      </c>
      <c r="R109" s="4">
        <v>2000000</v>
      </c>
      <c r="S109" s="4">
        <v>0</v>
      </c>
      <c r="T109" s="4">
        <v>0</v>
      </c>
      <c r="U109" s="24">
        <v>0</v>
      </c>
      <c r="V109" s="4">
        <v>43600</v>
      </c>
      <c r="W109" s="11">
        <v>45222</v>
      </c>
      <c r="X109" s="2"/>
      <c r="Y109" s="5" t="s">
        <v>3</v>
      </c>
      <c r="Z109" s="5" t="s">
        <v>1261</v>
      </c>
      <c r="AA109" s="5" t="s">
        <v>928</v>
      </c>
      <c r="AB109" s="16" t="s">
        <v>3</v>
      </c>
    </row>
    <row r="110" spans="2:28" x14ac:dyDescent="0.25">
      <c r="B110" s="18" t="s">
        <v>2651</v>
      </c>
      <c r="C110" s="44" t="s">
        <v>2197</v>
      </c>
      <c r="D110" s="20" t="s">
        <v>2944</v>
      </c>
      <c r="E110" s="51" t="s">
        <v>3</v>
      </c>
      <c r="F110" s="11">
        <v>43913</v>
      </c>
      <c r="G110" s="5" t="s">
        <v>2686</v>
      </c>
      <c r="H110" s="2"/>
      <c r="I110" s="4">
        <v>2274383</v>
      </c>
      <c r="J110" s="4">
        <v>2274383</v>
      </c>
      <c r="K110" s="4">
        <v>2274336</v>
      </c>
      <c r="L110" s="4">
        <v>2274201</v>
      </c>
      <c r="M110" s="4">
        <v>0</v>
      </c>
      <c r="N110" s="4">
        <v>182</v>
      </c>
      <c r="O110" s="4">
        <v>0</v>
      </c>
      <c r="P110" s="24">
        <v>182</v>
      </c>
      <c r="Q110" s="4">
        <v>0</v>
      </c>
      <c r="R110" s="4">
        <v>2274383</v>
      </c>
      <c r="S110" s="4">
        <v>0</v>
      </c>
      <c r="T110" s="4">
        <v>0</v>
      </c>
      <c r="U110" s="24">
        <v>0</v>
      </c>
      <c r="V110" s="4">
        <v>9683</v>
      </c>
      <c r="W110" s="11">
        <v>44673</v>
      </c>
      <c r="X110" s="2"/>
      <c r="Y110" s="5" t="s">
        <v>3</v>
      </c>
      <c r="Z110" s="5" t="s">
        <v>1261</v>
      </c>
      <c r="AA110" s="5" t="s">
        <v>1261</v>
      </c>
      <c r="AB110" s="16" t="s">
        <v>3</v>
      </c>
    </row>
    <row r="111" spans="2:28" x14ac:dyDescent="0.25">
      <c r="B111" s="18" t="s">
        <v>4128</v>
      </c>
      <c r="C111" s="44" t="s">
        <v>4175</v>
      </c>
      <c r="D111" s="20" t="s">
        <v>224</v>
      </c>
      <c r="E111" s="51" t="s">
        <v>3</v>
      </c>
      <c r="F111" s="11">
        <v>44109</v>
      </c>
      <c r="G111" s="5" t="s">
        <v>4397</v>
      </c>
      <c r="H111" s="2"/>
      <c r="I111" s="4">
        <v>3031011</v>
      </c>
      <c r="J111" s="4">
        <v>3330782</v>
      </c>
      <c r="K111" s="4">
        <v>3064660</v>
      </c>
      <c r="L111" s="4">
        <v>3330782</v>
      </c>
      <c r="M111" s="4">
        <v>0</v>
      </c>
      <c r="N111" s="4">
        <v>0</v>
      </c>
      <c r="O111" s="4">
        <v>266122</v>
      </c>
      <c r="P111" s="24">
        <v>-266122</v>
      </c>
      <c r="Q111" s="4">
        <v>0</v>
      </c>
      <c r="R111" s="4">
        <v>3064660</v>
      </c>
      <c r="S111" s="4">
        <v>0</v>
      </c>
      <c r="T111" s="4">
        <v>-33648</v>
      </c>
      <c r="U111" s="24">
        <v>-33648</v>
      </c>
      <c r="V111" s="4">
        <v>167904</v>
      </c>
      <c r="W111" s="11">
        <v>45687</v>
      </c>
      <c r="X111" s="2"/>
      <c r="Y111" s="5" t="s">
        <v>3</v>
      </c>
      <c r="Z111" s="5" t="s">
        <v>4423</v>
      </c>
      <c r="AA111" s="5" t="s">
        <v>4423</v>
      </c>
      <c r="AB111" s="16" t="s">
        <v>3</v>
      </c>
    </row>
    <row r="112" spans="2:28" x14ac:dyDescent="0.25">
      <c r="B112" s="18" t="s">
        <v>817</v>
      </c>
      <c r="C112" s="44" t="s">
        <v>4175</v>
      </c>
      <c r="D112" s="20" t="s">
        <v>224</v>
      </c>
      <c r="E112" s="51" t="s">
        <v>3</v>
      </c>
      <c r="F112" s="11">
        <v>44042</v>
      </c>
      <c r="G112" s="5" t="s">
        <v>2194</v>
      </c>
      <c r="H112" s="2"/>
      <c r="I112" s="4">
        <v>335993</v>
      </c>
      <c r="J112" s="4">
        <v>335993</v>
      </c>
      <c r="K112" s="4">
        <v>335993</v>
      </c>
      <c r="L112" s="4">
        <v>335993</v>
      </c>
      <c r="M112" s="4">
        <v>0</v>
      </c>
      <c r="N112" s="4">
        <v>0</v>
      </c>
      <c r="O112" s="4">
        <v>0</v>
      </c>
      <c r="P112" s="24">
        <v>0</v>
      </c>
      <c r="Q112" s="4">
        <v>0</v>
      </c>
      <c r="R112" s="4">
        <v>335993</v>
      </c>
      <c r="S112" s="4">
        <v>0</v>
      </c>
      <c r="T112" s="4">
        <v>0</v>
      </c>
      <c r="U112" s="24">
        <v>0</v>
      </c>
      <c r="V112" s="4">
        <v>10710</v>
      </c>
      <c r="W112" s="11">
        <v>45687</v>
      </c>
      <c r="X112" s="2"/>
      <c r="Y112" s="5" t="s">
        <v>3</v>
      </c>
      <c r="Z112" s="5" t="s">
        <v>4423</v>
      </c>
      <c r="AA112" s="5" t="s">
        <v>4423</v>
      </c>
      <c r="AB112" s="16" t="s">
        <v>3</v>
      </c>
    </row>
    <row r="113" spans="2:28" x14ac:dyDescent="0.25">
      <c r="B113" s="18" t="s">
        <v>1915</v>
      </c>
      <c r="C113" s="44" t="s">
        <v>1131</v>
      </c>
      <c r="D113" s="20" t="s">
        <v>3050</v>
      </c>
      <c r="E113" s="51" t="s">
        <v>3</v>
      </c>
      <c r="F113" s="11">
        <v>43980</v>
      </c>
      <c r="G113" s="5" t="s">
        <v>4397</v>
      </c>
      <c r="H113" s="2"/>
      <c r="I113" s="4">
        <v>10793372</v>
      </c>
      <c r="J113" s="4">
        <v>10790000</v>
      </c>
      <c r="K113" s="4">
        <v>10799461</v>
      </c>
      <c r="L113" s="4">
        <v>10799253</v>
      </c>
      <c r="M113" s="4">
        <v>0</v>
      </c>
      <c r="N113" s="4">
        <v>-2662</v>
      </c>
      <c r="O113" s="4">
        <v>0</v>
      </c>
      <c r="P113" s="24">
        <v>-2662</v>
      </c>
      <c r="Q113" s="4">
        <v>0</v>
      </c>
      <c r="R113" s="4">
        <v>10796592</v>
      </c>
      <c r="S113" s="4">
        <v>0</v>
      </c>
      <c r="T113" s="4">
        <v>-3220</v>
      </c>
      <c r="U113" s="24">
        <v>-3220</v>
      </c>
      <c r="V113" s="4">
        <v>72442</v>
      </c>
      <c r="W113" s="11">
        <v>45275</v>
      </c>
      <c r="X113" s="2"/>
      <c r="Y113" s="5" t="s">
        <v>3</v>
      </c>
      <c r="Z113" s="5" t="s">
        <v>2408</v>
      </c>
      <c r="AA113" s="5" t="s">
        <v>2198</v>
      </c>
      <c r="AB113" s="16" t="s">
        <v>3</v>
      </c>
    </row>
    <row r="114" spans="2:28" x14ac:dyDescent="0.25">
      <c r="B114" s="18" t="s">
        <v>3000</v>
      </c>
      <c r="C114" s="44" t="s">
        <v>151</v>
      </c>
      <c r="D114" s="20" t="s">
        <v>3449</v>
      </c>
      <c r="E114" s="51" t="s">
        <v>3</v>
      </c>
      <c r="F114" s="11">
        <v>44129</v>
      </c>
      <c r="G114" s="5" t="s">
        <v>2686</v>
      </c>
      <c r="H114" s="2"/>
      <c r="I114" s="4">
        <v>40000</v>
      </c>
      <c r="J114" s="4">
        <v>40000</v>
      </c>
      <c r="K114" s="4">
        <v>39709</v>
      </c>
      <c r="L114" s="4">
        <v>39849</v>
      </c>
      <c r="M114" s="4">
        <v>0</v>
      </c>
      <c r="N114" s="4">
        <v>151</v>
      </c>
      <c r="O114" s="4">
        <v>0</v>
      </c>
      <c r="P114" s="24">
        <v>151</v>
      </c>
      <c r="Q114" s="4">
        <v>0</v>
      </c>
      <c r="R114" s="4">
        <v>40000</v>
      </c>
      <c r="S114" s="4">
        <v>0</v>
      </c>
      <c r="T114" s="4">
        <v>0</v>
      </c>
      <c r="U114" s="24">
        <v>0</v>
      </c>
      <c r="V114" s="4">
        <v>771</v>
      </c>
      <c r="W114" s="11">
        <v>53898</v>
      </c>
      <c r="X114" s="2"/>
      <c r="Y114" s="5" t="s">
        <v>3</v>
      </c>
      <c r="Z114" s="5" t="s">
        <v>2338</v>
      </c>
      <c r="AA114" s="5" t="s">
        <v>928</v>
      </c>
      <c r="AB114" s="16" t="s">
        <v>3</v>
      </c>
    </row>
    <row r="115" spans="2:28" x14ac:dyDescent="0.25">
      <c r="B115" s="18" t="s">
        <v>4129</v>
      </c>
      <c r="C115" s="44" t="s">
        <v>2339</v>
      </c>
      <c r="D115" s="20" t="s">
        <v>768</v>
      </c>
      <c r="E115" s="51" t="s">
        <v>3</v>
      </c>
      <c r="F115" s="11">
        <v>44129</v>
      </c>
      <c r="G115" s="5" t="s">
        <v>2686</v>
      </c>
      <c r="H115" s="2"/>
      <c r="I115" s="4">
        <v>40000</v>
      </c>
      <c r="J115" s="4">
        <v>40000</v>
      </c>
      <c r="K115" s="4">
        <v>40000</v>
      </c>
      <c r="L115" s="4">
        <v>40000</v>
      </c>
      <c r="M115" s="4">
        <v>0</v>
      </c>
      <c r="N115" s="4">
        <v>0</v>
      </c>
      <c r="O115" s="4">
        <v>0</v>
      </c>
      <c r="P115" s="24">
        <v>0</v>
      </c>
      <c r="Q115" s="4">
        <v>0</v>
      </c>
      <c r="R115" s="4">
        <v>40000</v>
      </c>
      <c r="S115" s="4">
        <v>0</v>
      </c>
      <c r="T115" s="4">
        <v>0</v>
      </c>
      <c r="U115" s="24">
        <v>0</v>
      </c>
      <c r="V115" s="4">
        <v>1029</v>
      </c>
      <c r="W115" s="11">
        <v>54264</v>
      </c>
      <c r="X115" s="2"/>
      <c r="Y115" s="5" t="s">
        <v>3</v>
      </c>
      <c r="Z115" s="5" t="s">
        <v>2946</v>
      </c>
      <c r="AA115" s="5" t="s">
        <v>928</v>
      </c>
      <c r="AB115" s="16" t="s">
        <v>3</v>
      </c>
    </row>
    <row r="116" spans="2:28" x14ac:dyDescent="0.25">
      <c r="B116" s="18" t="s">
        <v>818</v>
      </c>
      <c r="C116" s="44" t="s">
        <v>770</v>
      </c>
      <c r="D116" s="20" t="s">
        <v>3450</v>
      </c>
      <c r="E116" s="51" t="s">
        <v>3</v>
      </c>
      <c r="F116" s="11">
        <v>44119</v>
      </c>
      <c r="G116" s="5" t="s">
        <v>2686</v>
      </c>
      <c r="H116" s="2"/>
      <c r="I116" s="4">
        <v>1006813</v>
      </c>
      <c r="J116" s="4">
        <v>1006813</v>
      </c>
      <c r="K116" s="4">
        <v>1006646</v>
      </c>
      <c r="L116" s="4">
        <v>1006754</v>
      </c>
      <c r="M116" s="4">
        <v>0</v>
      </c>
      <c r="N116" s="4">
        <v>59</v>
      </c>
      <c r="O116" s="4">
        <v>0</v>
      </c>
      <c r="P116" s="24">
        <v>59</v>
      </c>
      <c r="Q116" s="4">
        <v>0</v>
      </c>
      <c r="R116" s="4">
        <v>1006813</v>
      </c>
      <c r="S116" s="4">
        <v>0</v>
      </c>
      <c r="T116" s="4">
        <v>0</v>
      </c>
      <c r="U116" s="24">
        <v>0</v>
      </c>
      <c r="V116" s="4">
        <v>20585</v>
      </c>
      <c r="W116" s="11">
        <v>46492</v>
      </c>
      <c r="X116" s="2"/>
      <c r="Y116" s="5" t="s">
        <v>3</v>
      </c>
      <c r="Z116" s="5" t="s">
        <v>152</v>
      </c>
      <c r="AA116" s="5" t="s">
        <v>152</v>
      </c>
      <c r="AB116" s="16" t="s">
        <v>3</v>
      </c>
    </row>
    <row r="117" spans="2:28" x14ac:dyDescent="0.25">
      <c r="B117" s="18" t="s">
        <v>1916</v>
      </c>
      <c r="C117" s="44" t="s">
        <v>3700</v>
      </c>
      <c r="D117" s="20" t="s">
        <v>432</v>
      </c>
      <c r="E117" s="51" t="s">
        <v>3</v>
      </c>
      <c r="F117" s="11">
        <v>44119</v>
      </c>
      <c r="G117" s="5" t="s">
        <v>2686</v>
      </c>
      <c r="H117" s="2"/>
      <c r="I117" s="4">
        <v>461940</v>
      </c>
      <c r="J117" s="4">
        <v>461940</v>
      </c>
      <c r="K117" s="4">
        <v>461865</v>
      </c>
      <c r="L117" s="4">
        <v>461870</v>
      </c>
      <c r="M117" s="4">
        <v>0</v>
      </c>
      <c r="N117" s="4">
        <v>70</v>
      </c>
      <c r="O117" s="4">
        <v>0</v>
      </c>
      <c r="P117" s="24">
        <v>70</v>
      </c>
      <c r="Q117" s="4">
        <v>0</v>
      </c>
      <c r="R117" s="4">
        <v>461940</v>
      </c>
      <c r="S117" s="4">
        <v>0</v>
      </c>
      <c r="T117" s="4">
        <v>0</v>
      </c>
      <c r="U117" s="24">
        <v>0</v>
      </c>
      <c r="V117" s="4">
        <v>12498</v>
      </c>
      <c r="W117" s="11">
        <v>48136</v>
      </c>
      <c r="X117" s="2"/>
      <c r="Y117" s="5" t="s">
        <v>3</v>
      </c>
      <c r="Z117" s="5" t="s">
        <v>1263</v>
      </c>
      <c r="AA117" s="5" t="s">
        <v>928</v>
      </c>
      <c r="AB117" s="16" t="s">
        <v>3</v>
      </c>
    </row>
    <row r="118" spans="2:28" x14ac:dyDescent="0.25">
      <c r="B118" s="18" t="s">
        <v>3001</v>
      </c>
      <c r="C118" s="44" t="s">
        <v>861</v>
      </c>
      <c r="D118" s="20" t="s">
        <v>4424</v>
      </c>
      <c r="E118" s="51" t="s">
        <v>3</v>
      </c>
      <c r="F118" s="11">
        <v>44094</v>
      </c>
      <c r="G118" s="5" t="s">
        <v>2686</v>
      </c>
      <c r="H118" s="2"/>
      <c r="I118" s="4">
        <v>576332</v>
      </c>
      <c r="J118" s="4">
        <v>576332</v>
      </c>
      <c r="K118" s="4">
        <v>576319</v>
      </c>
      <c r="L118" s="4">
        <v>576304</v>
      </c>
      <c r="M118" s="4">
        <v>0</v>
      </c>
      <c r="N118" s="4">
        <v>28</v>
      </c>
      <c r="O118" s="4">
        <v>0</v>
      </c>
      <c r="P118" s="24">
        <v>28</v>
      </c>
      <c r="Q118" s="4">
        <v>0</v>
      </c>
      <c r="R118" s="4">
        <v>576332</v>
      </c>
      <c r="S118" s="4">
        <v>0</v>
      </c>
      <c r="T118" s="4">
        <v>0</v>
      </c>
      <c r="U118" s="24">
        <v>0</v>
      </c>
      <c r="V118" s="4">
        <v>12036</v>
      </c>
      <c r="W118" s="11">
        <v>45828</v>
      </c>
      <c r="X118" s="2"/>
      <c r="Y118" s="5" t="s">
        <v>3</v>
      </c>
      <c r="Z118" s="5" t="s">
        <v>1132</v>
      </c>
      <c r="AA118" s="5" t="s">
        <v>3</v>
      </c>
      <c r="AB118" s="16" t="s">
        <v>3</v>
      </c>
    </row>
    <row r="119" spans="2:28" x14ac:dyDescent="0.25">
      <c r="B119" s="18" t="s">
        <v>493</v>
      </c>
      <c r="C119" s="44" t="s">
        <v>3814</v>
      </c>
      <c r="D119" s="20" t="s">
        <v>2199</v>
      </c>
      <c r="E119" s="51" t="s">
        <v>3</v>
      </c>
      <c r="F119" s="11">
        <v>43922</v>
      </c>
      <c r="G119" s="5" t="s">
        <v>848</v>
      </c>
      <c r="H119" s="2"/>
      <c r="I119" s="4">
        <v>9900000</v>
      </c>
      <c r="J119" s="4">
        <v>9900000</v>
      </c>
      <c r="K119" s="4">
        <v>9923876</v>
      </c>
      <c r="L119" s="4">
        <v>9900731</v>
      </c>
      <c r="M119" s="4">
        <v>0</v>
      </c>
      <c r="N119" s="4">
        <v>-731</v>
      </c>
      <c r="O119" s="4">
        <v>0</v>
      </c>
      <c r="P119" s="24">
        <v>-731</v>
      </c>
      <c r="Q119" s="4">
        <v>0</v>
      </c>
      <c r="R119" s="4">
        <v>9900000</v>
      </c>
      <c r="S119" s="4">
        <v>0</v>
      </c>
      <c r="T119" s="4">
        <v>0</v>
      </c>
      <c r="U119" s="24">
        <v>0</v>
      </c>
      <c r="V119" s="4">
        <v>121275</v>
      </c>
      <c r="W119" s="11">
        <v>43922</v>
      </c>
      <c r="X119" s="2"/>
      <c r="Y119" s="5" t="s">
        <v>3595</v>
      </c>
      <c r="Z119" s="5" t="s">
        <v>1713</v>
      </c>
      <c r="AA119" s="5" t="s">
        <v>3</v>
      </c>
      <c r="AB119" s="16" t="s">
        <v>3</v>
      </c>
    </row>
    <row r="120" spans="2:28" x14ac:dyDescent="0.25">
      <c r="B120" s="18" t="s">
        <v>1917</v>
      </c>
      <c r="C120" s="44" t="s">
        <v>1608</v>
      </c>
      <c r="D120" s="20" t="s">
        <v>3510</v>
      </c>
      <c r="E120" s="51" t="s">
        <v>3</v>
      </c>
      <c r="F120" s="11">
        <v>44094</v>
      </c>
      <c r="G120" s="5" t="s">
        <v>2686</v>
      </c>
      <c r="H120" s="2"/>
      <c r="I120" s="4">
        <v>4000000</v>
      </c>
      <c r="J120" s="4">
        <v>4000000</v>
      </c>
      <c r="K120" s="4">
        <v>3987529</v>
      </c>
      <c r="L120" s="4">
        <v>3993695</v>
      </c>
      <c r="M120" s="4">
        <v>0</v>
      </c>
      <c r="N120" s="4">
        <v>6305</v>
      </c>
      <c r="O120" s="4">
        <v>0</v>
      </c>
      <c r="P120" s="24">
        <v>6305</v>
      </c>
      <c r="Q120" s="4">
        <v>0</v>
      </c>
      <c r="R120" s="4">
        <v>4000000</v>
      </c>
      <c r="S120" s="4">
        <v>0</v>
      </c>
      <c r="T120" s="4">
        <v>0</v>
      </c>
      <c r="U120" s="24">
        <v>0</v>
      </c>
      <c r="V120" s="4">
        <v>63430</v>
      </c>
      <c r="W120" s="11">
        <v>44762</v>
      </c>
      <c r="X120" s="2"/>
      <c r="Y120" s="5" t="s">
        <v>3</v>
      </c>
      <c r="Z120" s="5" t="s">
        <v>2340</v>
      </c>
      <c r="AA120" s="5" t="s">
        <v>2340</v>
      </c>
      <c r="AB120" s="16" t="s">
        <v>3</v>
      </c>
    </row>
    <row r="121" spans="2:28" x14ac:dyDescent="0.25">
      <c r="B121" s="18" t="s">
        <v>3002</v>
      </c>
      <c r="C121" s="44" t="s">
        <v>3511</v>
      </c>
      <c r="D121" s="20" t="s">
        <v>1866</v>
      </c>
      <c r="E121" s="51" t="s">
        <v>3</v>
      </c>
      <c r="F121" s="11">
        <v>44150</v>
      </c>
      <c r="G121" s="5" t="s">
        <v>2686</v>
      </c>
      <c r="H121" s="2"/>
      <c r="I121" s="4">
        <v>5000000</v>
      </c>
      <c r="J121" s="4">
        <v>5000000</v>
      </c>
      <c r="K121" s="4">
        <v>4999863</v>
      </c>
      <c r="L121" s="4">
        <v>4999943</v>
      </c>
      <c r="M121" s="4">
        <v>0</v>
      </c>
      <c r="N121" s="4">
        <v>57</v>
      </c>
      <c r="O121" s="4">
        <v>0</v>
      </c>
      <c r="P121" s="24">
        <v>57</v>
      </c>
      <c r="Q121" s="4">
        <v>0</v>
      </c>
      <c r="R121" s="4">
        <v>5000000</v>
      </c>
      <c r="S121" s="4">
        <v>0</v>
      </c>
      <c r="T121" s="4">
        <v>0</v>
      </c>
      <c r="U121" s="24">
        <v>0</v>
      </c>
      <c r="V121" s="4">
        <v>110458</v>
      </c>
      <c r="W121" s="11">
        <v>45122</v>
      </c>
      <c r="X121" s="2"/>
      <c r="Y121" s="5" t="s">
        <v>3</v>
      </c>
      <c r="Z121" s="5" t="s">
        <v>3228</v>
      </c>
      <c r="AA121" s="5" t="s">
        <v>3228</v>
      </c>
      <c r="AB121" s="16" t="s">
        <v>3</v>
      </c>
    </row>
    <row r="122" spans="2:28" x14ac:dyDescent="0.25">
      <c r="B122" s="18" t="s">
        <v>4130</v>
      </c>
      <c r="C122" s="44" t="s">
        <v>1133</v>
      </c>
      <c r="D122" s="20" t="s">
        <v>3286</v>
      </c>
      <c r="E122" s="51" t="s">
        <v>3</v>
      </c>
      <c r="F122" s="11">
        <v>44148</v>
      </c>
      <c r="G122" s="5" t="s">
        <v>225</v>
      </c>
      <c r="H122" s="2"/>
      <c r="I122" s="4">
        <v>5051729</v>
      </c>
      <c r="J122" s="4">
        <v>5000000</v>
      </c>
      <c r="K122" s="4">
        <v>4999063</v>
      </c>
      <c r="L122" s="4">
        <v>4999651</v>
      </c>
      <c r="M122" s="4">
        <v>0</v>
      </c>
      <c r="N122" s="4">
        <v>348.5</v>
      </c>
      <c r="O122" s="4">
        <v>0</v>
      </c>
      <c r="P122" s="24">
        <v>348.5</v>
      </c>
      <c r="Q122" s="4">
        <v>0</v>
      </c>
      <c r="R122" s="4">
        <v>5051729</v>
      </c>
      <c r="S122" s="4">
        <v>0</v>
      </c>
      <c r="T122" s="4">
        <v>0</v>
      </c>
      <c r="U122" s="24">
        <v>0</v>
      </c>
      <c r="V122" s="4">
        <v>158784.5</v>
      </c>
      <c r="W122" s="11">
        <v>44362</v>
      </c>
      <c r="X122" s="2"/>
      <c r="Y122" s="5" t="s">
        <v>1204</v>
      </c>
      <c r="Z122" s="5" t="s">
        <v>1724</v>
      </c>
      <c r="AA122" s="5" t="s">
        <v>3</v>
      </c>
      <c r="AB122" s="16" t="s">
        <v>3</v>
      </c>
    </row>
    <row r="123" spans="2:28" x14ac:dyDescent="0.25">
      <c r="B123" s="18" t="s">
        <v>819</v>
      </c>
      <c r="C123" s="44" t="s">
        <v>1955</v>
      </c>
      <c r="D123" s="20" t="s">
        <v>3287</v>
      </c>
      <c r="E123" s="51" t="s">
        <v>3</v>
      </c>
      <c r="F123" s="11">
        <v>43924</v>
      </c>
      <c r="G123" s="5" t="s">
        <v>4396</v>
      </c>
      <c r="H123" s="2"/>
      <c r="I123" s="4">
        <v>5000000</v>
      </c>
      <c r="J123" s="4">
        <v>5000000</v>
      </c>
      <c r="K123" s="4">
        <v>5000000</v>
      </c>
      <c r="L123" s="4">
        <v>5000000</v>
      </c>
      <c r="M123" s="4">
        <v>0</v>
      </c>
      <c r="N123" s="4">
        <v>0</v>
      </c>
      <c r="O123" s="4">
        <v>0</v>
      </c>
      <c r="P123" s="24">
        <v>0</v>
      </c>
      <c r="Q123" s="4">
        <v>0</v>
      </c>
      <c r="R123" s="4">
        <v>5000000</v>
      </c>
      <c r="S123" s="4">
        <v>0</v>
      </c>
      <c r="T123" s="4">
        <v>0</v>
      </c>
      <c r="U123" s="24">
        <v>0</v>
      </c>
      <c r="V123" s="4">
        <v>100750</v>
      </c>
      <c r="W123" s="11">
        <v>45316</v>
      </c>
      <c r="X123" s="2"/>
      <c r="Y123" s="5" t="s">
        <v>3</v>
      </c>
      <c r="Z123" s="5" t="s">
        <v>72</v>
      </c>
      <c r="AA123" s="5" t="s">
        <v>928</v>
      </c>
      <c r="AB123" s="16" t="s">
        <v>3</v>
      </c>
    </row>
    <row r="124" spans="2:28" x14ac:dyDescent="0.25">
      <c r="B124" s="18" t="s">
        <v>1918</v>
      </c>
      <c r="C124" s="44" t="s">
        <v>4176</v>
      </c>
      <c r="D124" s="20" t="s">
        <v>2693</v>
      </c>
      <c r="E124" s="51" t="s">
        <v>3</v>
      </c>
      <c r="F124" s="11">
        <v>44117</v>
      </c>
      <c r="G124" s="5" t="s">
        <v>526</v>
      </c>
      <c r="H124" s="2"/>
      <c r="I124" s="4">
        <v>1400000</v>
      </c>
      <c r="J124" s="4">
        <v>1400000</v>
      </c>
      <c r="K124" s="4">
        <v>1407448</v>
      </c>
      <c r="L124" s="4">
        <v>1400091</v>
      </c>
      <c r="M124" s="4">
        <v>0</v>
      </c>
      <c r="N124" s="4">
        <v>-91</v>
      </c>
      <c r="O124" s="4">
        <v>0</v>
      </c>
      <c r="P124" s="24">
        <v>-91</v>
      </c>
      <c r="Q124" s="4">
        <v>0</v>
      </c>
      <c r="R124" s="4">
        <v>1400000</v>
      </c>
      <c r="S124" s="4">
        <v>0</v>
      </c>
      <c r="T124" s="4">
        <v>0</v>
      </c>
      <c r="U124" s="24">
        <v>0</v>
      </c>
      <c r="V124" s="4">
        <v>62183</v>
      </c>
      <c r="W124" s="11">
        <v>44454</v>
      </c>
      <c r="X124" s="2"/>
      <c r="Y124" s="5" t="s">
        <v>2093</v>
      </c>
      <c r="Z124" s="5" t="s">
        <v>3404</v>
      </c>
      <c r="AA124" s="5" t="s">
        <v>3</v>
      </c>
      <c r="AB124" s="16" t="s">
        <v>3</v>
      </c>
    </row>
    <row r="125" spans="2:28" x14ac:dyDescent="0.25">
      <c r="B125" s="18" t="s">
        <v>3003</v>
      </c>
      <c r="C125" s="44" t="s">
        <v>4425</v>
      </c>
      <c r="D125" s="20" t="s">
        <v>1956</v>
      </c>
      <c r="E125" s="51" t="s">
        <v>3</v>
      </c>
      <c r="F125" s="11">
        <v>43862</v>
      </c>
      <c r="G125" s="5" t="s">
        <v>848</v>
      </c>
      <c r="H125" s="2"/>
      <c r="I125" s="4">
        <v>1000000</v>
      </c>
      <c r="J125" s="4">
        <v>1000000</v>
      </c>
      <c r="K125" s="4">
        <v>997720</v>
      </c>
      <c r="L125" s="4">
        <v>999962</v>
      </c>
      <c r="M125" s="4">
        <v>0</v>
      </c>
      <c r="N125" s="4">
        <v>38</v>
      </c>
      <c r="O125" s="4">
        <v>0</v>
      </c>
      <c r="P125" s="24">
        <v>38</v>
      </c>
      <c r="Q125" s="4">
        <v>0</v>
      </c>
      <c r="R125" s="4">
        <v>1000000</v>
      </c>
      <c r="S125" s="4">
        <v>0</v>
      </c>
      <c r="T125" s="4">
        <v>0</v>
      </c>
      <c r="U125" s="24">
        <v>0</v>
      </c>
      <c r="V125" s="4">
        <v>11750</v>
      </c>
      <c r="W125" s="11">
        <v>43862</v>
      </c>
      <c r="X125" s="2"/>
      <c r="Y125" s="5" t="s">
        <v>976</v>
      </c>
      <c r="Z125" s="5" t="s">
        <v>975</v>
      </c>
      <c r="AA125" s="5" t="s">
        <v>3</v>
      </c>
      <c r="AB125" s="16" t="s">
        <v>3</v>
      </c>
    </row>
    <row r="126" spans="2:28" x14ac:dyDescent="0.25">
      <c r="B126" s="18" t="s">
        <v>4131</v>
      </c>
      <c r="C126" s="44" t="s">
        <v>1134</v>
      </c>
      <c r="D126" s="20" t="s">
        <v>1957</v>
      </c>
      <c r="E126" s="51" t="s">
        <v>3</v>
      </c>
      <c r="F126" s="11">
        <v>44091</v>
      </c>
      <c r="G126" s="5" t="s">
        <v>2686</v>
      </c>
      <c r="H126" s="2"/>
      <c r="I126" s="4">
        <v>2988631</v>
      </c>
      <c r="J126" s="4">
        <v>2988631</v>
      </c>
      <c r="K126" s="4">
        <v>2987561</v>
      </c>
      <c r="L126" s="4">
        <v>2987798</v>
      </c>
      <c r="M126" s="4">
        <v>0</v>
      </c>
      <c r="N126" s="4">
        <v>833</v>
      </c>
      <c r="O126" s="4">
        <v>0</v>
      </c>
      <c r="P126" s="24">
        <v>833</v>
      </c>
      <c r="Q126" s="4">
        <v>0</v>
      </c>
      <c r="R126" s="4">
        <v>2988631</v>
      </c>
      <c r="S126" s="4">
        <v>0</v>
      </c>
      <c r="T126" s="4">
        <v>0</v>
      </c>
      <c r="U126" s="24">
        <v>0</v>
      </c>
      <c r="V126" s="4">
        <v>80913</v>
      </c>
      <c r="W126" s="11">
        <v>50145</v>
      </c>
      <c r="X126" s="2"/>
      <c r="Y126" s="5" t="s">
        <v>3</v>
      </c>
      <c r="Z126" s="5" t="s">
        <v>226</v>
      </c>
      <c r="AA126" s="5" t="s">
        <v>226</v>
      </c>
      <c r="AB126" s="16" t="s">
        <v>3</v>
      </c>
    </row>
    <row r="127" spans="2:28" x14ac:dyDescent="0.25">
      <c r="B127" s="18" t="s">
        <v>820</v>
      </c>
      <c r="C127" s="44" t="s">
        <v>532</v>
      </c>
      <c r="D127" s="20" t="s">
        <v>2200</v>
      </c>
      <c r="E127" s="51" t="s">
        <v>3</v>
      </c>
      <c r="F127" s="11">
        <v>44060</v>
      </c>
      <c r="G127" s="5" t="s">
        <v>526</v>
      </c>
      <c r="H127" s="2"/>
      <c r="I127" s="4">
        <v>5000000</v>
      </c>
      <c r="J127" s="4">
        <v>5000000</v>
      </c>
      <c r="K127" s="4">
        <v>4989800</v>
      </c>
      <c r="L127" s="4">
        <v>4998475</v>
      </c>
      <c r="M127" s="4">
        <v>0</v>
      </c>
      <c r="N127" s="4">
        <v>1525</v>
      </c>
      <c r="O127" s="4">
        <v>0</v>
      </c>
      <c r="P127" s="24">
        <v>1525</v>
      </c>
      <c r="Q127" s="4">
        <v>0</v>
      </c>
      <c r="R127" s="4">
        <v>5000000</v>
      </c>
      <c r="S127" s="4">
        <v>0</v>
      </c>
      <c r="T127" s="4">
        <v>0</v>
      </c>
      <c r="U127" s="24">
        <v>0</v>
      </c>
      <c r="V127" s="4">
        <v>126042</v>
      </c>
      <c r="W127" s="11">
        <v>44089</v>
      </c>
      <c r="X127" s="2"/>
      <c r="Y127" s="5" t="s">
        <v>3288</v>
      </c>
      <c r="Z127" s="5" t="s">
        <v>862</v>
      </c>
      <c r="AA127" s="5" t="s">
        <v>3512</v>
      </c>
      <c r="AB127" s="16" t="s">
        <v>3</v>
      </c>
    </row>
    <row r="128" spans="2:28" x14ac:dyDescent="0.25">
      <c r="B128" s="18" t="s">
        <v>1919</v>
      </c>
      <c r="C128" s="44" t="s">
        <v>4177</v>
      </c>
      <c r="D128" s="20" t="s">
        <v>2200</v>
      </c>
      <c r="E128" s="51" t="s">
        <v>3</v>
      </c>
      <c r="F128" s="11">
        <v>43913</v>
      </c>
      <c r="G128" s="5" t="s">
        <v>1104</v>
      </c>
      <c r="H128" s="2"/>
      <c r="I128" s="4">
        <v>3900000</v>
      </c>
      <c r="J128" s="4">
        <v>3900000</v>
      </c>
      <c r="K128" s="4">
        <v>3911943</v>
      </c>
      <c r="L128" s="4">
        <v>3900630</v>
      </c>
      <c r="M128" s="4">
        <v>0</v>
      </c>
      <c r="N128" s="4">
        <v>-630</v>
      </c>
      <c r="O128" s="4">
        <v>0</v>
      </c>
      <c r="P128" s="24">
        <v>-630</v>
      </c>
      <c r="Q128" s="4">
        <v>0</v>
      </c>
      <c r="R128" s="4">
        <v>3900000</v>
      </c>
      <c r="S128" s="4">
        <v>0</v>
      </c>
      <c r="T128" s="4">
        <v>0</v>
      </c>
      <c r="U128" s="24">
        <v>0</v>
      </c>
      <c r="V128" s="4">
        <v>42250</v>
      </c>
      <c r="W128" s="11">
        <v>43944</v>
      </c>
      <c r="X128" s="2"/>
      <c r="Y128" s="5" t="s">
        <v>3288</v>
      </c>
      <c r="Z128" s="5" t="s">
        <v>862</v>
      </c>
      <c r="AA128" s="5" t="s">
        <v>3512</v>
      </c>
      <c r="AB128" s="16" t="s">
        <v>3</v>
      </c>
    </row>
    <row r="129" spans="2:28" x14ac:dyDescent="0.25">
      <c r="B129" s="18" t="s">
        <v>4132</v>
      </c>
      <c r="C129" s="44" t="s">
        <v>3513</v>
      </c>
      <c r="D129" s="20" t="s">
        <v>3815</v>
      </c>
      <c r="E129" s="51" t="s">
        <v>3</v>
      </c>
      <c r="F129" s="11">
        <v>43936</v>
      </c>
      <c r="G129" s="5" t="s">
        <v>2686</v>
      </c>
      <c r="H129" s="2"/>
      <c r="I129" s="4">
        <v>3570000</v>
      </c>
      <c r="J129" s="4">
        <v>3570000</v>
      </c>
      <c r="K129" s="4">
        <v>3569199</v>
      </c>
      <c r="L129" s="4">
        <v>3569689</v>
      </c>
      <c r="M129" s="4">
        <v>0</v>
      </c>
      <c r="N129" s="4">
        <v>311</v>
      </c>
      <c r="O129" s="4">
        <v>0</v>
      </c>
      <c r="P129" s="24">
        <v>311</v>
      </c>
      <c r="Q129" s="4">
        <v>0</v>
      </c>
      <c r="R129" s="4">
        <v>3570000</v>
      </c>
      <c r="S129" s="4">
        <v>0</v>
      </c>
      <c r="T129" s="4">
        <v>0</v>
      </c>
      <c r="U129" s="24">
        <v>0</v>
      </c>
      <c r="V129" s="4">
        <v>32249</v>
      </c>
      <c r="W129" s="11">
        <v>45366</v>
      </c>
      <c r="X129" s="2"/>
      <c r="Y129" s="5" t="s">
        <v>3</v>
      </c>
      <c r="Z129" s="5" t="s">
        <v>2694</v>
      </c>
      <c r="AA129" s="5" t="s">
        <v>2694</v>
      </c>
      <c r="AB129" s="16" t="s">
        <v>3</v>
      </c>
    </row>
    <row r="130" spans="2:28" x14ac:dyDescent="0.25">
      <c r="B130" s="18" t="s">
        <v>821</v>
      </c>
      <c r="C130" s="44" t="s">
        <v>778</v>
      </c>
      <c r="D130" s="20" t="s">
        <v>3707</v>
      </c>
      <c r="E130" s="51" t="s">
        <v>3</v>
      </c>
      <c r="F130" s="11">
        <v>44190</v>
      </c>
      <c r="G130" s="5" t="s">
        <v>2686</v>
      </c>
      <c r="H130" s="2"/>
      <c r="I130" s="4">
        <v>1035024</v>
      </c>
      <c r="J130" s="4">
        <v>1035024</v>
      </c>
      <c r="K130" s="4">
        <v>1035000</v>
      </c>
      <c r="L130" s="4">
        <v>1034993</v>
      </c>
      <c r="M130" s="4">
        <v>0</v>
      </c>
      <c r="N130" s="4">
        <v>31</v>
      </c>
      <c r="O130" s="4">
        <v>0</v>
      </c>
      <c r="P130" s="24">
        <v>31</v>
      </c>
      <c r="Q130" s="4">
        <v>0</v>
      </c>
      <c r="R130" s="4">
        <v>1035024</v>
      </c>
      <c r="S130" s="4">
        <v>0</v>
      </c>
      <c r="T130" s="4">
        <v>0</v>
      </c>
      <c r="U130" s="24">
        <v>0</v>
      </c>
      <c r="V130" s="4">
        <v>17788</v>
      </c>
      <c r="W130" s="11">
        <v>48269</v>
      </c>
      <c r="X130" s="2"/>
      <c r="Y130" s="5" t="s">
        <v>3</v>
      </c>
      <c r="Z130" s="5" t="s">
        <v>4075</v>
      </c>
      <c r="AA130" s="5" t="s">
        <v>928</v>
      </c>
      <c r="AB130" s="16" t="s">
        <v>3</v>
      </c>
    </row>
    <row r="131" spans="2:28" x14ac:dyDescent="0.25">
      <c r="B131" s="18" t="s">
        <v>1920</v>
      </c>
      <c r="C131" s="44" t="s">
        <v>3234</v>
      </c>
      <c r="D131" s="20" t="s">
        <v>3707</v>
      </c>
      <c r="E131" s="51" t="s">
        <v>3</v>
      </c>
      <c r="F131" s="11">
        <v>44190</v>
      </c>
      <c r="G131" s="5" t="s">
        <v>2686</v>
      </c>
      <c r="H131" s="2"/>
      <c r="I131" s="4">
        <v>1242029</v>
      </c>
      <c r="J131" s="4">
        <v>1242029</v>
      </c>
      <c r="K131" s="4">
        <v>1252461</v>
      </c>
      <c r="L131" s="4">
        <v>1251571</v>
      </c>
      <c r="M131" s="4">
        <v>0</v>
      </c>
      <c r="N131" s="4">
        <v>-9542</v>
      </c>
      <c r="O131" s="4">
        <v>0</v>
      </c>
      <c r="P131" s="24">
        <v>-9542</v>
      </c>
      <c r="Q131" s="4">
        <v>0</v>
      </c>
      <c r="R131" s="4">
        <v>1242029</v>
      </c>
      <c r="S131" s="4">
        <v>0</v>
      </c>
      <c r="T131" s="4">
        <v>0</v>
      </c>
      <c r="U131" s="24">
        <v>0</v>
      </c>
      <c r="V131" s="4">
        <v>22310</v>
      </c>
      <c r="W131" s="11">
        <v>48269</v>
      </c>
      <c r="X131" s="2"/>
      <c r="Y131" s="5" t="s">
        <v>3</v>
      </c>
      <c r="Z131" s="5" t="s">
        <v>4075</v>
      </c>
      <c r="AA131" s="5" t="s">
        <v>928</v>
      </c>
      <c r="AB131" s="16" t="s">
        <v>3</v>
      </c>
    </row>
    <row r="132" spans="2:28" x14ac:dyDescent="0.25">
      <c r="B132" s="18" t="s">
        <v>3004</v>
      </c>
      <c r="C132" s="44" t="s">
        <v>3235</v>
      </c>
      <c r="D132" s="20" t="s">
        <v>3707</v>
      </c>
      <c r="E132" s="51" t="s">
        <v>3</v>
      </c>
      <c r="F132" s="11">
        <v>44190</v>
      </c>
      <c r="G132" s="5" t="s">
        <v>2686</v>
      </c>
      <c r="H132" s="2"/>
      <c r="I132" s="4">
        <v>621015</v>
      </c>
      <c r="J132" s="4">
        <v>621015</v>
      </c>
      <c r="K132" s="4">
        <v>620953</v>
      </c>
      <c r="L132" s="4">
        <v>620954</v>
      </c>
      <c r="M132" s="4">
        <v>0</v>
      </c>
      <c r="N132" s="4">
        <v>60</v>
      </c>
      <c r="O132" s="4">
        <v>0</v>
      </c>
      <c r="P132" s="24">
        <v>60</v>
      </c>
      <c r="Q132" s="4">
        <v>0</v>
      </c>
      <c r="R132" s="4">
        <v>621015</v>
      </c>
      <c r="S132" s="4">
        <v>0</v>
      </c>
      <c r="T132" s="4">
        <v>0</v>
      </c>
      <c r="U132" s="24">
        <v>0</v>
      </c>
      <c r="V132" s="4">
        <v>12059</v>
      </c>
      <c r="W132" s="11">
        <v>48269</v>
      </c>
      <c r="X132" s="2"/>
      <c r="Y132" s="5" t="s">
        <v>3</v>
      </c>
      <c r="Z132" s="5" t="s">
        <v>4075</v>
      </c>
      <c r="AA132" s="5" t="s">
        <v>928</v>
      </c>
      <c r="AB132" s="16" t="s">
        <v>3</v>
      </c>
    </row>
    <row r="133" spans="2:28" x14ac:dyDescent="0.25">
      <c r="B133" s="18" t="s">
        <v>4133</v>
      </c>
      <c r="C133" s="44" t="s">
        <v>4076</v>
      </c>
      <c r="D133" s="20" t="s">
        <v>441</v>
      </c>
      <c r="E133" s="51" t="s">
        <v>3</v>
      </c>
      <c r="F133" s="11">
        <v>44190</v>
      </c>
      <c r="G133" s="5" t="s">
        <v>2686</v>
      </c>
      <c r="H133" s="2"/>
      <c r="I133" s="4">
        <v>925531</v>
      </c>
      <c r="J133" s="4">
        <v>925531</v>
      </c>
      <c r="K133" s="4">
        <v>925385</v>
      </c>
      <c r="L133" s="4">
        <v>925388</v>
      </c>
      <c r="M133" s="4">
        <v>0</v>
      </c>
      <c r="N133" s="4">
        <v>143</v>
      </c>
      <c r="O133" s="4">
        <v>0</v>
      </c>
      <c r="P133" s="24">
        <v>143</v>
      </c>
      <c r="Q133" s="4">
        <v>0</v>
      </c>
      <c r="R133" s="4">
        <v>925531</v>
      </c>
      <c r="S133" s="4">
        <v>0</v>
      </c>
      <c r="T133" s="4">
        <v>0</v>
      </c>
      <c r="U133" s="24">
        <v>0</v>
      </c>
      <c r="V133" s="4">
        <v>12504</v>
      </c>
      <c r="W133" s="11">
        <v>48785</v>
      </c>
      <c r="X133" s="2"/>
      <c r="Y133" s="5" t="s">
        <v>3</v>
      </c>
      <c r="Z133" s="5" t="s">
        <v>4077</v>
      </c>
      <c r="AA133" s="5" t="s">
        <v>928</v>
      </c>
      <c r="AB133" s="16" t="s">
        <v>3</v>
      </c>
    </row>
    <row r="134" spans="2:28" x14ac:dyDescent="0.25">
      <c r="B134" s="18" t="s">
        <v>822</v>
      </c>
      <c r="C134" s="44" t="s">
        <v>4078</v>
      </c>
      <c r="D134" s="20" t="s">
        <v>441</v>
      </c>
      <c r="E134" s="51" t="s">
        <v>3</v>
      </c>
      <c r="F134" s="11">
        <v>44190</v>
      </c>
      <c r="G134" s="5" t="s">
        <v>2686</v>
      </c>
      <c r="H134" s="2"/>
      <c r="I134" s="4">
        <v>925531</v>
      </c>
      <c r="J134" s="4">
        <v>925531</v>
      </c>
      <c r="K134" s="4">
        <v>925438</v>
      </c>
      <c r="L134" s="4">
        <v>925440</v>
      </c>
      <c r="M134" s="4">
        <v>0</v>
      </c>
      <c r="N134" s="4">
        <v>91</v>
      </c>
      <c r="O134" s="4">
        <v>0</v>
      </c>
      <c r="P134" s="24">
        <v>91</v>
      </c>
      <c r="Q134" s="4">
        <v>0</v>
      </c>
      <c r="R134" s="4">
        <v>925531</v>
      </c>
      <c r="S134" s="4">
        <v>0</v>
      </c>
      <c r="T134" s="4">
        <v>0</v>
      </c>
      <c r="U134" s="24">
        <v>0</v>
      </c>
      <c r="V134" s="4">
        <v>13573</v>
      </c>
      <c r="W134" s="11">
        <v>48785</v>
      </c>
      <c r="X134" s="2"/>
      <c r="Y134" s="5" t="s">
        <v>3</v>
      </c>
      <c r="Z134" s="5" t="s">
        <v>4077</v>
      </c>
      <c r="AA134" s="5" t="s">
        <v>928</v>
      </c>
      <c r="AB134" s="16" t="s">
        <v>3</v>
      </c>
    </row>
    <row r="135" spans="2:28" x14ac:dyDescent="0.25">
      <c r="B135" s="18" t="s">
        <v>1921</v>
      </c>
      <c r="C135" s="44" t="s">
        <v>4079</v>
      </c>
      <c r="D135" s="20" t="s">
        <v>441</v>
      </c>
      <c r="E135" s="51" t="s">
        <v>3</v>
      </c>
      <c r="F135" s="11">
        <v>44190</v>
      </c>
      <c r="G135" s="5" t="s">
        <v>2686</v>
      </c>
      <c r="H135" s="2"/>
      <c r="I135" s="4">
        <v>694148</v>
      </c>
      <c r="J135" s="4">
        <v>694148</v>
      </c>
      <c r="K135" s="4">
        <v>694144</v>
      </c>
      <c r="L135" s="4">
        <v>694142</v>
      </c>
      <c r="M135" s="4">
        <v>0</v>
      </c>
      <c r="N135" s="4">
        <v>7</v>
      </c>
      <c r="O135" s="4">
        <v>0</v>
      </c>
      <c r="P135" s="24">
        <v>7</v>
      </c>
      <c r="Q135" s="4">
        <v>0</v>
      </c>
      <c r="R135" s="4">
        <v>694148</v>
      </c>
      <c r="S135" s="4">
        <v>0</v>
      </c>
      <c r="T135" s="4">
        <v>0</v>
      </c>
      <c r="U135" s="24">
        <v>0</v>
      </c>
      <c r="V135" s="4">
        <v>11382</v>
      </c>
      <c r="W135" s="11">
        <v>48785</v>
      </c>
      <c r="X135" s="2"/>
      <c r="Y135" s="5" t="s">
        <v>3</v>
      </c>
      <c r="Z135" s="5" t="s">
        <v>4077</v>
      </c>
      <c r="AA135" s="5" t="s">
        <v>928</v>
      </c>
      <c r="AB135" s="16" t="s">
        <v>3</v>
      </c>
    </row>
    <row r="136" spans="2:28" x14ac:dyDescent="0.25">
      <c r="B136" s="18" t="s">
        <v>3005</v>
      </c>
      <c r="C136" s="44" t="s">
        <v>3816</v>
      </c>
      <c r="D136" s="20" t="s">
        <v>227</v>
      </c>
      <c r="E136" s="51" t="s">
        <v>3</v>
      </c>
      <c r="F136" s="11">
        <v>44027</v>
      </c>
      <c r="G136" s="5" t="s">
        <v>2686</v>
      </c>
      <c r="H136" s="2"/>
      <c r="I136" s="4">
        <v>6000000</v>
      </c>
      <c r="J136" s="4">
        <v>6000000</v>
      </c>
      <c r="K136" s="4">
        <v>5998766</v>
      </c>
      <c r="L136" s="4">
        <v>5999422</v>
      </c>
      <c r="M136" s="4">
        <v>0</v>
      </c>
      <c r="N136" s="4">
        <v>578</v>
      </c>
      <c r="O136" s="4">
        <v>0</v>
      </c>
      <c r="P136" s="24">
        <v>578</v>
      </c>
      <c r="Q136" s="4">
        <v>0</v>
      </c>
      <c r="R136" s="4">
        <v>6000000</v>
      </c>
      <c r="S136" s="4">
        <v>0</v>
      </c>
      <c r="T136" s="4">
        <v>0</v>
      </c>
      <c r="U136" s="24">
        <v>0</v>
      </c>
      <c r="V136" s="4">
        <v>89600</v>
      </c>
      <c r="W136" s="11">
        <v>44788</v>
      </c>
      <c r="X136" s="2"/>
      <c r="Y136" s="5" t="s">
        <v>3</v>
      </c>
      <c r="Z136" s="5" t="s">
        <v>227</v>
      </c>
      <c r="AA136" s="5" t="s">
        <v>3</v>
      </c>
      <c r="AB136" s="16" t="s">
        <v>3</v>
      </c>
    </row>
    <row r="137" spans="2:28" x14ac:dyDescent="0.25">
      <c r="B137" s="18" t="s">
        <v>4402</v>
      </c>
      <c r="C137" s="44" t="s">
        <v>3817</v>
      </c>
      <c r="D137" s="20" t="s">
        <v>227</v>
      </c>
      <c r="E137" s="51" t="s">
        <v>3</v>
      </c>
      <c r="F137" s="11">
        <v>44027</v>
      </c>
      <c r="G137" s="5" t="s">
        <v>2686</v>
      </c>
      <c r="H137" s="2"/>
      <c r="I137" s="4">
        <v>4000000</v>
      </c>
      <c r="J137" s="4">
        <v>4000000</v>
      </c>
      <c r="K137" s="4">
        <v>3999784</v>
      </c>
      <c r="L137" s="4">
        <v>3999791</v>
      </c>
      <c r="M137" s="4">
        <v>0</v>
      </c>
      <c r="N137" s="4">
        <v>209</v>
      </c>
      <c r="O137" s="4">
        <v>0</v>
      </c>
      <c r="P137" s="24">
        <v>209</v>
      </c>
      <c r="Q137" s="4">
        <v>0</v>
      </c>
      <c r="R137" s="4">
        <v>4000000</v>
      </c>
      <c r="S137" s="4">
        <v>0</v>
      </c>
      <c r="T137" s="4">
        <v>0</v>
      </c>
      <c r="U137" s="24">
        <v>0</v>
      </c>
      <c r="V137" s="4">
        <v>69067</v>
      </c>
      <c r="W137" s="11">
        <v>45153</v>
      </c>
      <c r="X137" s="2"/>
      <c r="Y137" s="5" t="s">
        <v>3</v>
      </c>
      <c r="Z137" s="5" t="s">
        <v>227</v>
      </c>
      <c r="AA137" s="5" t="s">
        <v>3</v>
      </c>
      <c r="AB137" s="16" t="s">
        <v>3</v>
      </c>
    </row>
    <row r="138" spans="2:28" x14ac:dyDescent="0.25">
      <c r="B138" s="18" t="s">
        <v>1106</v>
      </c>
      <c r="C138" s="44" t="s">
        <v>1609</v>
      </c>
      <c r="D138" s="20" t="s">
        <v>1076</v>
      </c>
      <c r="E138" s="51" t="s">
        <v>3</v>
      </c>
      <c r="F138" s="11">
        <v>43845</v>
      </c>
      <c r="G138" s="5" t="s">
        <v>2686</v>
      </c>
      <c r="H138" s="2"/>
      <c r="I138" s="4">
        <v>2156900</v>
      </c>
      <c r="J138" s="4">
        <v>2156900</v>
      </c>
      <c r="K138" s="4">
        <v>2156865</v>
      </c>
      <c r="L138" s="4">
        <v>2156897</v>
      </c>
      <c r="M138" s="4">
        <v>0</v>
      </c>
      <c r="N138" s="4">
        <v>2</v>
      </c>
      <c r="O138" s="4">
        <v>0</v>
      </c>
      <c r="P138" s="24">
        <v>2</v>
      </c>
      <c r="Q138" s="4">
        <v>0</v>
      </c>
      <c r="R138" s="4">
        <v>2156900</v>
      </c>
      <c r="S138" s="4">
        <v>0</v>
      </c>
      <c r="T138" s="4">
        <v>0</v>
      </c>
      <c r="U138" s="24">
        <v>0</v>
      </c>
      <c r="V138" s="4">
        <v>4583</v>
      </c>
      <c r="W138" s="11">
        <v>44515</v>
      </c>
      <c r="X138" s="2"/>
      <c r="Y138" s="5" t="s">
        <v>3</v>
      </c>
      <c r="Z138" s="5" t="s">
        <v>1077</v>
      </c>
      <c r="AA138" s="5" t="s">
        <v>1077</v>
      </c>
      <c r="AB138" s="16" t="s">
        <v>3</v>
      </c>
    </row>
    <row r="139" spans="2:28" x14ac:dyDescent="0.25">
      <c r="B139" s="18" t="s">
        <v>2386</v>
      </c>
      <c r="C139" s="44" t="s">
        <v>1610</v>
      </c>
      <c r="D139" s="20" t="s">
        <v>78</v>
      </c>
      <c r="E139" s="51" t="s">
        <v>3</v>
      </c>
      <c r="F139" s="11">
        <v>44007</v>
      </c>
      <c r="G139" s="5" t="s">
        <v>2409</v>
      </c>
      <c r="H139" s="2"/>
      <c r="I139" s="4">
        <v>7058800</v>
      </c>
      <c r="J139" s="4">
        <v>7000000</v>
      </c>
      <c r="K139" s="4">
        <v>6992160</v>
      </c>
      <c r="L139" s="4">
        <v>6998492</v>
      </c>
      <c r="M139" s="4">
        <v>0</v>
      </c>
      <c r="N139" s="4">
        <v>1508</v>
      </c>
      <c r="O139" s="4">
        <v>0</v>
      </c>
      <c r="P139" s="24">
        <v>1508</v>
      </c>
      <c r="Q139" s="4">
        <v>0</v>
      </c>
      <c r="R139" s="4">
        <v>7058800</v>
      </c>
      <c r="S139" s="4">
        <v>0</v>
      </c>
      <c r="T139" s="4">
        <v>0</v>
      </c>
      <c r="U139" s="24">
        <v>0</v>
      </c>
      <c r="V139" s="4">
        <v>167883</v>
      </c>
      <c r="W139" s="11">
        <v>44166</v>
      </c>
      <c r="X139" s="2"/>
      <c r="Y139" s="5" t="s">
        <v>2051</v>
      </c>
      <c r="Z139" s="5" t="s">
        <v>78</v>
      </c>
      <c r="AA139" s="5" t="s">
        <v>3</v>
      </c>
      <c r="AB139" s="16" t="s">
        <v>3</v>
      </c>
    </row>
    <row r="140" spans="2:28" x14ac:dyDescent="0.25">
      <c r="B140" s="18" t="s">
        <v>3488</v>
      </c>
      <c r="C140" s="44" t="s">
        <v>2201</v>
      </c>
      <c r="D140" s="20" t="s">
        <v>1408</v>
      </c>
      <c r="E140" s="51" t="s">
        <v>3</v>
      </c>
      <c r="F140" s="11">
        <v>43896</v>
      </c>
      <c r="G140" s="5" t="s">
        <v>1104</v>
      </c>
      <c r="H140" s="2"/>
      <c r="I140" s="4">
        <v>6853893</v>
      </c>
      <c r="J140" s="4">
        <v>6800000</v>
      </c>
      <c r="K140" s="4">
        <v>6773034</v>
      </c>
      <c r="L140" s="4">
        <v>6785511</v>
      </c>
      <c r="M140" s="4">
        <v>0</v>
      </c>
      <c r="N140" s="4">
        <v>14489.8</v>
      </c>
      <c r="O140" s="4">
        <v>0</v>
      </c>
      <c r="P140" s="24">
        <v>14489.8</v>
      </c>
      <c r="Q140" s="4">
        <v>0</v>
      </c>
      <c r="R140" s="4">
        <v>6853893</v>
      </c>
      <c r="S140" s="4">
        <v>0</v>
      </c>
      <c r="T140" s="4">
        <v>0</v>
      </c>
      <c r="U140" s="24">
        <v>0</v>
      </c>
      <c r="V140" s="4">
        <v>137618.20000000001</v>
      </c>
      <c r="W140" s="11">
        <v>44246</v>
      </c>
      <c r="X140" s="2"/>
      <c r="Y140" s="5" t="s">
        <v>3610</v>
      </c>
      <c r="Z140" s="5" t="s">
        <v>1737</v>
      </c>
      <c r="AA140" s="5" t="s">
        <v>1737</v>
      </c>
      <c r="AB140" s="16" t="s">
        <v>3</v>
      </c>
    </row>
    <row r="141" spans="2:28" x14ac:dyDescent="0.25">
      <c r="B141" s="18" t="s">
        <v>201</v>
      </c>
      <c r="C141" s="44" t="s">
        <v>2695</v>
      </c>
      <c r="D141" s="20" t="s">
        <v>2696</v>
      </c>
      <c r="E141" s="51" t="s">
        <v>3</v>
      </c>
      <c r="F141" s="11">
        <v>44011</v>
      </c>
      <c r="G141" s="5" t="s">
        <v>1104</v>
      </c>
      <c r="H141" s="2"/>
      <c r="I141" s="4">
        <v>4760000</v>
      </c>
      <c r="J141" s="4">
        <v>4760000</v>
      </c>
      <c r="K141" s="4">
        <v>5123072</v>
      </c>
      <c r="L141" s="4">
        <v>4790776</v>
      </c>
      <c r="M141" s="4">
        <v>0</v>
      </c>
      <c r="N141" s="4">
        <v>-30776</v>
      </c>
      <c r="O141" s="4">
        <v>0</v>
      </c>
      <c r="P141" s="24">
        <v>-30776</v>
      </c>
      <c r="Q141" s="4">
        <v>0</v>
      </c>
      <c r="R141" s="4">
        <v>4760000</v>
      </c>
      <c r="S141" s="4">
        <v>0</v>
      </c>
      <c r="T141" s="4">
        <v>0</v>
      </c>
      <c r="U141" s="24">
        <v>0</v>
      </c>
      <c r="V141" s="4">
        <v>142853</v>
      </c>
      <c r="W141" s="11">
        <v>44075</v>
      </c>
      <c r="X141" s="2"/>
      <c r="Y141" s="5" t="s">
        <v>1611</v>
      </c>
      <c r="Z141" s="5" t="s">
        <v>2697</v>
      </c>
      <c r="AA141" s="5" t="s">
        <v>1320</v>
      </c>
      <c r="AB141" s="16" t="s">
        <v>3</v>
      </c>
    </row>
    <row r="142" spans="2:28" x14ac:dyDescent="0.25">
      <c r="B142" s="18" t="s">
        <v>1305</v>
      </c>
      <c r="C142" s="44" t="s">
        <v>1321</v>
      </c>
      <c r="D142" s="20" t="s">
        <v>3289</v>
      </c>
      <c r="E142" s="51" t="s">
        <v>3</v>
      </c>
      <c r="F142" s="11">
        <v>44060</v>
      </c>
      <c r="G142" s="5" t="s">
        <v>526</v>
      </c>
      <c r="H142" s="2"/>
      <c r="I142" s="4">
        <v>5000000</v>
      </c>
      <c r="J142" s="4">
        <v>5000000</v>
      </c>
      <c r="K142" s="4">
        <v>5000000</v>
      </c>
      <c r="L142" s="4">
        <v>5000000</v>
      </c>
      <c r="M142" s="4">
        <v>0</v>
      </c>
      <c r="N142" s="4">
        <v>0</v>
      </c>
      <c r="O142" s="4">
        <v>0</v>
      </c>
      <c r="P142" s="24">
        <v>0</v>
      </c>
      <c r="Q142" s="4">
        <v>0</v>
      </c>
      <c r="R142" s="4">
        <v>5000000</v>
      </c>
      <c r="S142" s="4">
        <v>0</v>
      </c>
      <c r="T142" s="4">
        <v>0</v>
      </c>
      <c r="U142" s="24">
        <v>0</v>
      </c>
      <c r="V142" s="4">
        <v>114750</v>
      </c>
      <c r="W142" s="11">
        <v>44423</v>
      </c>
      <c r="X142" s="2"/>
      <c r="Y142" s="5" t="s">
        <v>3927</v>
      </c>
      <c r="Z142" s="5" t="s">
        <v>628</v>
      </c>
      <c r="AA142" s="5" t="s">
        <v>3</v>
      </c>
      <c r="AB142" s="16" t="s">
        <v>3</v>
      </c>
    </row>
    <row r="143" spans="2:28" x14ac:dyDescent="0.25">
      <c r="B143" s="18" t="s">
        <v>2652</v>
      </c>
      <c r="C143" s="44" t="s">
        <v>3051</v>
      </c>
      <c r="D143" s="20" t="s">
        <v>1322</v>
      </c>
      <c r="E143" s="51" t="s">
        <v>3</v>
      </c>
      <c r="F143" s="11">
        <v>44131</v>
      </c>
      <c r="G143" s="5" t="s">
        <v>2687</v>
      </c>
      <c r="H143" s="2"/>
      <c r="I143" s="4">
        <v>9680510</v>
      </c>
      <c r="J143" s="4">
        <v>9878071</v>
      </c>
      <c r="K143" s="4">
        <v>9941044</v>
      </c>
      <c r="L143" s="4">
        <v>9940895</v>
      </c>
      <c r="M143" s="4">
        <v>0</v>
      </c>
      <c r="N143" s="4">
        <v>-4751</v>
      </c>
      <c r="O143" s="4">
        <v>0</v>
      </c>
      <c r="P143" s="24">
        <v>-4751</v>
      </c>
      <c r="Q143" s="4">
        <v>0</v>
      </c>
      <c r="R143" s="4">
        <v>9936144</v>
      </c>
      <c r="S143" s="4">
        <v>0</v>
      </c>
      <c r="T143" s="4">
        <v>-255634</v>
      </c>
      <c r="U143" s="24">
        <v>-255634</v>
      </c>
      <c r="V143" s="4">
        <v>261837</v>
      </c>
      <c r="W143" s="11">
        <v>48349</v>
      </c>
      <c r="X143" s="2"/>
      <c r="Y143" s="5" t="s">
        <v>3</v>
      </c>
      <c r="Z143" s="5" t="s">
        <v>1135</v>
      </c>
      <c r="AA143" s="5" t="s">
        <v>1135</v>
      </c>
      <c r="AB143" s="16" t="s">
        <v>3</v>
      </c>
    </row>
    <row r="144" spans="2:28" x14ac:dyDescent="0.25">
      <c r="B144" s="18" t="s">
        <v>3770</v>
      </c>
      <c r="C144" s="44" t="s">
        <v>3051</v>
      </c>
      <c r="D144" s="20" t="s">
        <v>1322</v>
      </c>
      <c r="E144" s="51" t="s">
        <v>3</v>
      </c>
      <c r="F144" s="11">
        <v>43966</v>
      </c>
      <c r="G144" s="5" t="s">
        <v>2194</v>
      </c>
      <c r="H144" s="2"/>
      <c r="I144" s="4">
        <v>121929</v>
      </c>
      <c r="J144" s="4">
        <v>121929</v>
      </c>
      <c r="K144" s="4">
        <v>122706</v>
      </c>
      <c r="L144" s="4">
        <v>122704</v>
      </c>
      <c r="M144" s="4">
        <v>0</v>
      </c>
      <c r="N144" s="4">
        <v>-775</v>
      </c>
      <c r="O144" s="4">
        <v>0</v>
      </c>
      <c r="P144" s="24">
        <v>-775</v>
      </c>
      <c r="Q144" s="4">
        <v>0</v>
      </c>
      <c r="R144" s="4">
        <v>121929</v>
      </c>
      <c r="S144" s="4">
        <v>0</v>
      </c>
      <c r="T144" s="4">
        <v>0</v>
      </c>
      <c r="U144" s="24">
        <v>0</v>
      </c>
      <c r="V144" s="4">
        <v>1704</v>
      </c>
      <c r="W144" s="11">
        <v>48349</v>
      </c>
      <c r="X144" s="2"/>
      <c r="Y144" s="5" t="s">
        <v>3</v>
      </c>
      <c r="Z144" s="5" t="s">
        <v>1135</v>
      </c>
      <c r="AA144" s="5" t="s">
        <v>1135</v>
      </c>
      <c r="AB144" s="16" t="s">
        <v>3</v>
      </c>
    </row>
    <row r="145" spans="2:28" x14ac:dyDescent="0.25">
      <c r="B145" s="18" t="s">
        <v>494</v>
      </c>
      <c r="C145" s="44" t="s">
        <v>3818</v>
      </c>
      <c r="D145" s="20" t="s">
        <v>863</v>
      </c>
      <c r="E145" s="51" t="s">
        <v>3</v>
      </c>
      <c r="F145" s="11">
        <v>44134</v>
      </c>
      <c r="G145" s="5" t="s">
        <v>2686</v>
      </c>
      <c r="H145" s="2"/>
      <c r="I145" s="4">
        <v>1955000</v>
      </c>
      <c r="J145" s="4">
        <v>1955000</v>
      </c>
      <c r="K145" s="4">
        <v>1955000</v>
      </c>
      <c r="L145" s="4">
        <v>1955000</v>
      </c>
      <c r="M145" s="4">
        <v>0</v>
      </c>
      <c r="N145" s="4">
        <v>0</v>
      </c>
      <c r="O145" s="4">
        <v>0</v>
      </c>
      <c r="P145" s="24">
        <v>0</v>
      </c>
      <c r="Q145" s="4">
        <v>0</v>
      </c>
      <c r="R145" s="4">
        <v>1955000</v>
      </c>
      <c r="S145" s="4">
        <v>0</v>
      </c>
      <c r="T145" s="4">
        <v>0</v>
      </c>
      <c r="U145" s="24">
        <v>0</v>
      </c>
      <c r="V145" s="4">
        <v>73295</v>
      </c>
      <c r="W145" s="11">
        <v>53903</v>
      </c>
      <c r="X145" s="2"/>
      <c r="Y145" s="5" t="s">
        <v>3</v>
      </c>
      <c r="Z145" s="5" t="s">
        <v>1323</v>
      </c>
      <c r="AA145" s="5" t="s">
        <v>1323</v>
      </c>
      <c r="AB145" s="16" t="s">
        <v>3</v>
      </c>
    </row>
    <row r="146" spans="2:28" x14ac:dyDescent="0.25">
      <c r="B146" s="18" t="s">
        <v>1569</v>
      </c>
      <c r="C146" s="44" t="s">
        <v>533</v>
      </c>
      <c r="D146" s="20" t="s">
        <v>2410</v>
      </c>
      <c r="E146" s="51" t="s">
        <v>3</v>
      </c>
      <c r="F146" s="11">
        <v>43945</v>
      </c>
      <c r="G146" s="5" t="s">
        <v>1958</v>
      </c>
      <c r="H146" s="2"/>
      <c r="I146" s="4">
        <v>11951012</v>
      </c>
      <c r="J146" s="4">
        <v>11951012</v>
      </c>
      <c r="K146" s="4">
        <v>11951012</v>
      </c>
      <c r="L146" s="4">
        <v>11951012</v>
      </c>
      <c r="M146" s="4">
        <v>0</v>
      </c>
      <c r="N146" s="4">
        <v>0</v>
      </c>
      <c r="O146" s="4">
        <v>0</v>
      </c>
      <c r="P146" s="24">
        <v>0</v>
      </c>
      <c r="Q146" s="4">
        <v>0</v>
      </c>
      <c r="R146" s="4">
        <v>11951012</v>
      </c>
      <c r="S146" s="4">
        <v>0</v>
      </c>
      <c r="T146" s="4">
        <v>0</v>
      </c>
      <c r="U146" s="24">
        <v>0</v>
      </c>
      <c r="V146" s="4">
        <v>118738</v>
      </c>
      <c r="W146" s="11">
        <v>44133</v>
      </c>
      <c r="X146" s="2"/>
      <c r="Y146" s="5" t="s">
        <v>864</v>
      </c>
      <c r="Z146" s="5" t="s">
        <v>2410</v>
      </c>
      <c r="AA146" s="5" t="s">
        <v>3</v>
      </c>
      <c r="AB146" s="16" t="s">
        <v>3</v>
      </c>
    </row>
    <row r="147" spans="2:28" x14ac:dyDescent="0.25">
      <c r="B147" s="18" t="s">
        <v>2654</v>
      </c>
      <c r="C147" s="44" t="s">
        <v>533</v>
      </c>
      <c r="D147" s="20" t="s">
        <v>2410</v>
      </c>
      <c r="E147" s="51" t="s">
        <v>3</v>
      </c>
      <c r="F147" s="11">
        <v>44103</v>
      </c>
      <c r="G147" s="5" t="s">
        <v>2698</v>
      </c>
      <c r="H147" s="2"/>
      <c r="I147" s="4">
        <v>2167315</v>
      </c>
      <c r="J147" s="4">
        <v>2048988</v>
      </c>
      <c r="K147" s="4">
        <v>2048988</v>
      </c>
      <c r="L147" s="4">
        <v>2048988</v>
      </c>
      <c r="M147" s="4">
        <v>0</v>
      </c>
      <c r="N147" s="4">
        <v>0.17</v>
      </c>
      <c r="O147" s="4">
        <v>0</v>
      </c>
      <c r="P147" s="24">
        <v>0.17</v>
      </c>
      <c r="Q147" s="4">
        <v>0</v>
      </c>
      <c r="R147" s="4">
        <v>2167315</v>
      </c>
      <c r="S147" s="4">
        <v>0</v>
      </c>
      <c r="T147" s="4">
        <v>0</v>
      </c>
      <c r="U147" s="24">
        <v>0</v>
      </c>
      <c r="V147" s="4">
        <v>167042.82999999999</v>
      </c>
      <c r="W147" s="11">
        <v>44133</v>
      </c>
      <c r="X147" s="2"/>
      <c r="Y147" s="5" t="s">
        <v>864</v>
      </c>
      <c r="Z147" s="5" t="s">
        <v>2410</v>
      </c>
      <c r="AA147" s="5" t="s">
        <v>3</v>
      </c>
      <c r="AB147" s="16" t="s">
        <v>3</v>
      </c>
    </row>
    <row r="148" spans="2:28" x14ac:dyDescent="0.25">
      <c r="B148" s="18" t="s">
        <v>3771</v>
      </c>
      <c r="C148" s="44" t="s">
        <v>3514</v>
      </c>
      <c r="D148" s="20" t="s">
        <v>1324</v>
      </c>
      <c r="E148" s="51" t="s">
        <v>3</v>
      </c>
      <c r="F148" s="11">
        <v>44046</v>
      </c>
      <c r="G148" s="5" t="s">
        <v>1104</v>
      </c>
      <c r="H148" s="2"/>
      <c r="I148" s="4">
        <v>3270000</v>
      </c>
      <c r="J148" s="4">
        <v>3270000</v>
      </c>
      <c r="K148" s="4">
        <v>3329701</v>
      </c>
      <c r="L148" s="4">
        <v>3277354</v>
      </c>
      <c r="M148" s="4">
        <v>0</v>
      </c>
      <c r="N148" s="4">
        <v>-7354</v>
      </c>
      <c r="O148" s="4">
        <v>0</v>
      </c>
      <c r="P148" s="24">
        <v>-7354</v>
      </c>
      <c r="Q148" s="4">
        <v>0</v>
      </c>
      <c r="R148" s="4">
        <v>3270000</v>
      </c>
      <c r="S148" s="4">
        <v>0</v>
      </c>
      <c r="T148" s="4">
        <v>0</v>
      </c>
      <c r="U148" s="24">
        <v>0</v>
      </c>
      <c r="V148" s="4">
        <v>79706</v>
      </c>
      <c r="W148" s="11">
        <v>44136</v>
      </c>
      <c r="X148" s="2"/>
      <c r="Y148" s="5" t="s">
        <v>4178</v>
      </c>
      <c r="Z148" s="5" t="s">
        <v>865</v>
      </c>
      <c r="AA148" s="5" t="s">
        <v>866</v>
      </c>
      <c r="AB148" s="16" t="s">
        <v>3</v>
      </c>
    </row>
    <row r="149" spans="2:28" x14ac:dyDescent="0.25">
      <c r="B149" s="18" t="s">
        <v>1306</v>
      </c>
      <c r="C149" s="44" t="s">
        <v>4366</v>
      </c>
      <c r="D149" s="20" t="s">
        <v>2699</v>
      </c>
      <c r="E149" s="51" t="s">
        <v>3</v>
      </c>
      <c r="F149" s="11">
        <v>44180</v>
      </c>
      <c r="G149" s="5" t="s">
        <v>2686</v>
      </c>
      <c r="H149" s="2"/>
      <c r="I149" s="4">
        <v>747659</v>
      </c>
      <c r="J149" s="4">
        <v>747659</v>
      </c>
      <c r="K149" s="4">
        <v>747614</v>
      </c>
      <c r="L149" s="4">
        <v>747634</v>
      </c>
      <c r="M149" s="4">
        <v>0</v>
      </c>
      <c r="N149" s="4">
        <v>25</v>
      </c>
      <c r="O149" s="4">
        <v>0</v>
      </c>
      <c r="P149" s="24">
        <v>25</v>
      </c>
      <c r="Q149" s="4">
        <v>0</v>
      </c>
      <c r="R149" s="4">
        <v>747659</v>
      </c>
      <c r="S149" s="4">
        <v>0</v>
      </c>
      <c r="T149" s="4">
        <v>0</v>
      </c>
      <c r="U149" s="24">
        <v>0</v>
      </c>
      <c r="V149" s="4">
        <v>9222</v>
      </c>
      <c r="W149" s="11">
        <v>52977</v>
      </c>
      <c r="X149" s="2"/>
      <c r="Y149" s="5" t="s">
        <v>3</v>
      </c>
      <c r="Z149" s="5" t="s">
        <v>2146</v>
      </c>
      <c r="AA149" s="5" t="s">
        <v>3</v>
      </c>
      <c r="AB149" s="16" t="s">
        <v>3</v>
      </c>
    </row>
    <row r="150" spans="2:28" x14ac:dyDescent="0.25">
      <c r="B150" s="18" t="s">
        <v>2387</v>
      </c>
      <c r="C150" s="44" t="s">
        <v>1136</v>
      </c>
      <c r="D150" s="20" t="s">
        <v>1137</v>
      </c>
      <c r="E150" s="51" t="s">
        <v>3</v>
      </c>
      <c r="F150" s="11">
        <v>43973</v>
      </c>
      <c r="G150" s="5" t="s">
        <v>4396</v>
      </c>
      <c r="H150" s="2"/>
      <c r="I150" s="4">
        <v>374336</v>
      </c>
      <c r="J150" s="4">
        <v>372000</v>
      </c>
      <c r="K150" s="4">
        <v>378339</v>
      </c>
      <c r="L150" s="4">
        <v>376601</v>
      </c>
      <c r="M150" s="4">
        <v>0</v>
      </c>
      <c r="N150" s="4">
        <v>-2265</v>
      </c>
      <c r="O150" s="4">
        <v>0</v>
      </c>
      <c r="P150" s="24">
        <v>-2265</v>
      </c>
      <c r="Q150" s="4">
        <v>0</v>
      </c>
      <c r="R150" s="4">
        <v>374336</v>
      </c>
      <c r="S150" s="4">
        <v>0</v>
      </c>
      <c r="T150" s="4">
        <v>0</v>
      </c>
      <c r="U150" s="24">
        <v>0</v>
      </c>
      <c r="V150" s="4">
        <v>11625</v>
      </c>
      <c r="W150" s="11">
        <v>44849</v>
      </c>
      <c r="X150" s="2"/>
      <c r="Y150" s="5" t="s">
        <v>1749</v>
      </c>
      <c r="Z150" s="5" t="s">
        <v>342</v>
      </c>
      <c r="AA150" s="5" t="s">
        <v>928</v>
      </c>
      <c r="AB150" s="16" t="s">
        <v>3</v>
      </c>
    </row>
    <row r="151" spans="2:28" x14ac:dyDescent="0.25">
      <c r="B151" s="18" t="s">
        <v>3772</v>
      </c>
      <c r="C151" s="44" t="s">
        <v>3290</v>
      </c>
      <c r="D151" s="20" t="s">
        <v>228</v>
      </c>
      <c r="E151" s="51" t="s">
        <v>3</v>
      </c>
      <c r="F151" s="11">
        <v>43973</v>
      </c>
      <c r="G151" s="5" t="s">
        <v>4396</v>
      </c>
      <c r="H151" s="2"/>
      <c r="I151" s="4">
        <v>2995199</v>
      </c>
      <c r="J151" s="4">
        <v>3000000</v>
      </c>
      <c r="K151" s="4">
        <v>2993902</v>
      </c>
      <c r="L151" s="4">
        <v>2994492</v>
      </c>
      <c r="M151" s="4">
        <v>0</v>
      </c>
      <c r="N151" s="4">
        <v>706</v>
      </c>
      <c r="O151" s="4">
        <v>0</v>
      </c>
      <c r="P151" s="24">
        <v>706</v>
      </c>
      <c r="Q151" s="4">
        <v>0</v>
      </c>
      <c r="R151" s="4">
        <v>2995199</v>
      </c>
      <c r="S151" s="4">
        <v>0</v>
      </c>
      <c r="T151" s="4">
        <v>0</v>
      </c>
      <c r="U151" s="24">
        <v>0</v>
      </c>
      <c r="V151" s="4">
        <v>0</v>
      </c>
      <c r="W151" s="11">
        <v>44896</v>
      </c>
      <c r="X151" s="2"/>
      <c r="Y151" s="5" t="s">
        <v>1749</v>
      </c>
      <c r="Z151" s="5" t="s">
        <v>342</v>
      </c>
      <c r="AA151" s="5" t="s">
        <v>928</v>
      </c>
      <c r="AB151" s="16" t="s">
        <v>3</v>
      </c>
    </row>
    <row r="152" spans="2:28" x14ac:dyDescent="0.25">
      <c r="B152" s="18" t="s">
        <v>495</v>
      </c>
      <c r="C152" s="44" t="s">
        <v>2344</v>
      </c>
      <c r="D152" s="20" t="s">
        <v>1509</v>
      </c>
      <c r="E152" s="51" t="s">
        <v>3</v>
      </c>
      <c r="F152" s="11">
        <v>44186</v>
      </c>
      <c r="G152" s="5" t="s">
        <v>2686</v>
      </c>
      <c r="H152" s="2"/>
      <c r="I152" s="4">
        <v>920854</v>
      </c>
      <c r="J152" s="4">
        <v>920854</v>
      </c>
      <c r="K152" s="4">
        <v>914604</v>
      </c>
      <c r="L152" s="4">
        <v>915430</v>
      </c>
      <c r="M152" s="4">
        <v>0</v>
      </c>
      <c r="N152" s="4">
        <v>5424</v>
      </c>
      <c r="O152" s="4">
        <v>0</v>
      </c>
      <c r="P152" s="24">
        <v>5424</v>
      </c>
      <c r="Q152" s="4">
        <v>0</v>
      </c>
      <c r="R152" s="4">
        <v>920854</v>
      </c>
      <c r="S152" s="4">
        <v>0</v>
      </c>
      <c r="T152" s="4">
        <v>0</v>
      </c>
      <c r="U152" s="24">
        <v>0</v>
      </c>
      <c r="V152" s="4">
        <v>12192</v>
      </c>
      <c r="W152" s="11">
        <v>48568</v>
      </c>
      <c r="X152" s="2"/>
      <c r="Y152" s="5" t="s">
        <v>780</v>
      </c>
      <c r="Z152" s="5" t="s">
        <v>1871</v>
      </c>
      <c r="AA152" s="5" t="s">
        <v>928</v>
      </c>
      <c r="AB152" s="16" t="s">
        <v>3</v>
      </c>
    </row>
    <row r="153" spans="2:28" x14ac:dyDescent="0.25">
      <c r="B153" s="18" t="s">
        <v>1570</v>
      </c>
      <c r="C153" s="44" t="s">
        <v>2345</v>
      </c>
      <c r="D153" s="20" t="s">
        <v>1871</v>
      </c>
      <c r="E153" s="51" t="s">
        <v>3</v>
      </c>
      <c r="F153" s="11">
        <v>44186</v>
      </c>
      <c r="G153" s="5" t="s">
        <v>2686</v>
      </c>
      <c r="H153" s="2"/>
      <c r="I153" s="4">
        <v>228581</v>
      </c>
      <c r="J153" s="4">
        <v>228581</v>
      </c>
      <c r="K153" s="4">
        <v>227193</v>
      </c>
      <c r="L153" s="4">
        <v>227344</v>
      </c>
      <c r="M153" s="4">
        <v>0</v>
      </c>
      <c r="N153" s="4">
        <v>1237</v>
      </c>
      <c r="O153" s="4">
        <v>0</v>
      </c>
      <c r="P153" s="24">
        <v>1237</v>
      </c>
      <c r="Q153" s="4">
        <v>0</v>
      </c>
      <c r="R153" s="4">
        <v>228581</v>
      </c>
      <c r="S153" s="4">
        <v>0</v>
      </c>
      <c r="T153" s="4">
        <v>0</v>
      </c>
      <c r="U153" s="24">
        <v>0</v>
      </c>
      <c r="V153" s="4">
        <v>3555</v>
      </c>
      <c r="W153" s="11">
        <v>48568</v>
      </c>
      <c r="X153" s="2"/>
      <c r="Y153" s="5" t="s">
        <v>780</v>
      </c>
      <c r="Z153" s="5" t="s">
        <v>1871</v>
      </c>
      <c r="AA153" s="5" t="s">
        <v>3</v>
      </c>
      <c r="AB153" s="16" t="s">
        <v>3</v>
      </c>
    </row>
    <row r="154" spans="2:28" x14ac:dyDescent="0.25">
      <c r="B154" s="18" t="s">
        <v>2655</v>
      </c>
      <c r="C154" s="44" t="s">
        <v>1873</v>
      </c>
      <c r="D154" s="20" t="s">
        <v>4368</v>
      </c>
      <c r="E154" s="51" t="s">
        <v>3</v>
      </c>
      <c r="F154" s="11">
        <v>44185</v>
      </c>
      <c r="G154" s="5" t="s">
        <v>2686</v>
      </c>
      <c r="H154" s="2"/>
      <c r="I154" s="4">
        <v>904575</v>
      </c>
      <c r="J154" s="4">
        <v>904575</v>
      </c>
      <c r="K154" s="4">
        <v>892520</v>
      </c>
      <c r="L154" s="4">
        <v>894892</v>
      </c>
      <c r="M154" s="4">
        <v>0</v>
      </c>
      <c r="N154" s="4">
        <v>9682</v>
      </c>
      <c r="O154" s="4">
        <v>0</v>
      </c>
      <c r="P154" s="24">
        <v>9682</v>
      </c>
      <c r="Q154" s="4">
        <v>0</v>
      </c>
      <c r="R154" s="4">
        <v>904575</v>
      </c>
      <c r="S154" s="4">
        <v>0</v>
      </c>
      <c r="T154" s="4">
        <v>0</v>
      </c>
      <c r="U154" s="24">
        <v>0</v>
      </c>
      <c r="V154" s="4">
        <v>10778</v>
      </c>
      <c r="W154" s="11">
        <v>48113</v>
      </c>
      <c r="X154" s="2"/>
      <c r="Y154" s="5" t="s">
        <v>781</v>
      </c>
      <c r="Z154" s="5" t="s">
        <v>2147</v>
      </c>
      <c r="AA154" s="5" t="s">
        <v>928</v>
      </c>
      <c r="AB154" s="16" t="s">
        <v>3</v>
      </c>
    </row>
    <row r="155" spans="2:28" x14ac:dyDescent="0.25">
      <c r="B155" s="18" t="s">
        <v>3773</v>
      </c>
      <c r="C155" s="44" t="s">
        <v>2700</v>
      </c>
      <c r="D155" s="20" t="s">
        <v>2701</v>
      </c>
      <c r="E155" s="51" t="s">
        <v>3</v>
      </c>
      <c r="F155" s="11">
        <v>44063</v>
      </c>
      <c r="G155" s="5" t="s">
        <v>2686</v>
      </c>
      <c r="H155" s="2"/>
      <c r="I155" s="4">
        <v>839160</v>
      </c>
      <c r="J155" s="4">
        <v>839160</v>
      </c>
      <c r="K155" s="4">
        <v>828769</v>
      </c>
      <c r="L155" s="4">
        <v>831530</v>
      </c>
      <c r="M155" s="4">
        <v>0</v>
      </c>
      <c r="N155" s="4">
        <v>7630</v>
      </c>
      <c r="O155" s="4">
        <v>0</v>
      </c>
      <c r="P155" s="24">
        <v>7630</v>
      </c>
      <c r="Q155" s="4">
        <v>0</v>
      </c>
      <c r="R155" s="4">
        <v>839160</v>
      </c>
      <c r="S155" s="4">
        <v>0</v>
      </c>
      <c r="T155" s="4">
        <v>0</v>
      </c>
      <c r="U155" s="24">
        <v>0</v>
      </c>
      <c r="V155" s="4">
        <v>10271</v>
      </c>
      <c r="W155" s="11">
        <v>47595</v>
      </c>
      <c r="X155" s="2"/>
      <c r="Y155" s="5" t="s">
        <v>4426</v>
      </c>
      <c r="Z155" s="5" t="s">
        <v>2411</v>
      </c>
      <c r="AA155" s="5" t="s">
        <v>928</v>
      </c>
      <c r="AB155" s="16" t="s">
        <v>3</v>
      </c>
    </row>
    <row r="156" spans="2:28" x14ac:dyDescent="0.25">
      <c r="B156" s="18" t="s">
        <v>496</v>
      </c>
      <c r="C156" s="44" t="s">
        <v>4081</v>
      </c>
      <c r="D156" s="20" t="s">
        <v>1510</v>
      </c>
      <c r="E156" s="51" t="s">
        <v>3</v>
      </c>
      <c r="F156" s="11">
        <v>44185</v>
      </c>
      <c r="G156" s="5" t="s">
        <v>2686</v>
      </c>
      <c r="H156" s="2"/>
      <c r="I156" s="4">
        <v>355829</v>
      </c>
      <c r="J156" s="4">
        <v>355829</v>
      </c>
      <c r="K156" s="4">
        <v>355726</v>
      </c>
      <c r="L156" s="4">
        <v>355758</v>
      </c>
      <c r="M156" s="4">
        <v>0</v>
      </c>
      <c r="N156" s="4">
        <v>71</v>
      </c>
      <c r="O156" s="4">
        <v>0</v>
      </c>
      <c r="P156" s="24">
        <v>71</v>
      </c>
      <c r="Q156" s="4">
        <v>0</v>
      </c>
      <c r="R156" s="4">
        <v>355829</v>
      </c>
      <c r="S156" s="4">
        <v>0</v>
      </c>
      <c r="T156" s="4">
        <v>0</v>
      </c>
      <c r="U156" s="24">
        <v>0</v>
      </c>
      <c r="V156" s="4">
        <v>4814</v>
      </c>
      <c r="W156" s="11">
        <v>48933</v>
      </c>
      <c r="X156" s="2"/>
      <c r="Y156" s="5" t="s">
        <v>3</v>
      </c>
      <c r="Z156" s="5" t="s">
        <v>1510</v>
      </c>
      <c r="AA156" s="5" t="s">
        <v>3</v>
      </c>
      <c r="AB156" s="16" t="s">
        <v>3</v>
      </c>
    </row>
    <row r="157" spans="2:28" x14ac:dyDescent="0.25">
      <c r="B157" s="18" t="s">
        <v>1571</v>
      </c>
      <c r="C157" s="44" t="s">
        <v>3714</v>
      </c>
      <c r="D157" s="20" t="s">
        <v>3715</v>
      </c>
      <c r="E157" s="51" t="s">
        <v>3</v>
      </c>
      <c r="F157" s="11">
        <v>44185</v>
      </c>
      <c r="G157" s="5" t="s">
        <v>2686</v>
      </c>
      <c r="H157" s="2"/>
      <c r="I157" s="4">
        <v>1708366</v>
      </c>
      <c r="J157" s="4">
        <v>1708366</v>
      </c>
      <c r="K157" s="4">
        <v>1707903</v>
      </c>
      <c r="L157" s="4">
        <v>1707936</v>
      </c>
      <c r="M157" s="4">
        <v>0</v>
      </c>
      <c r="N157" s="4">
        <v>431</v>
      </c>
      <c r="O157" s="4">
        <v>0</v>
      </c>
      <c r="P157" s="24">
        <v>431</v>
      </c>
      <c r="Q157" s="4">
        <v>0</v>
      </c>
      <c r="R157" s="4">
        <v>1708366</v>
      </c>
      <c r="S157" s="4">
        <v>0</v>
      </c>
      <c r="T157" s="4">
        <v>0</v>
      </c>
      <c r="U157" s="24">
        <v>0</v>
      </c>
      <c r="V157" s="4">
        <v>32253</v>
      </c>
      <c r="W157" s="11">
        <v>49999</v>
      </c>
      <c r="X157" s="2"/>
      <c r="Y157" s="5" t="s">
        <v>3</v>
      </c>
      <c r="Z157" s="5" t="s">
        <v>447</v>
      </c>
      <c r="AA157" s="5" t="s">
        <v>928</v>
      </c>
      <c r="AB157" s="16" t="s">
        <v>3</v>
      </c>
    </row>
    <row r="158" spans="2:28" x14ac:dyDescent="0.25">
      <c r="B158" s="18" t="s">
        <v>2656</v>
      </c>
      <c r="C158" s="44" t="s">
        <v>3716</v>
      </c>
      <c r="D158" s="20" t="s">
        <v>3715</v>
      </c>
      <c r="E158" s="51" t="s">
        <v>3</v>
      </c>
      <c r="F158" s="11">
        <v>44185</v>
      </c>
      <c r="G158" s="5" t="s">
        <v>2686</v>
      </c>
      <c r="H158" s="2"/>
      <c r="I158" s="4">
        <v>854183</v>
      </c>
      <c r="J158" s="4">
        <v>854183</v>
      </c>
      <c r="K158" s="4">
        <v>854073</v>
      </c>
      <c r="L158" s="4">
        <v>854083</v>
      </c>
      <c r="M158" s="4">
        <v>0</v>
      </c>
      <c r="N158" s="4">
        <v>101</v>
      </c>
      <c r="O158" s="4">
        <v>0</v>
      </c>
      <c r="P158" s="24">
        <v>101</v>
      </c>
      <c r="Q158" s="4">
        <v>0</v>
      </c>
      <c r="R158" s="4">
        <v>854183</v>
      </c>
      <c r="S158" s="4">
        <v>0</v>
      </c>
      <c r="T158" s="4">
        <v>0</v>
      </c>
      <c r="U158" s="24">
        <v>0</v>
      </c>
      <c r="V158" s="4">
        <v>17900</v>
      </c>
      <c r="W158" s="11">
        <v>49999</v>
      </c>
      <c r="X158" s="2"/>
      <c r="Y158" s="5" t="s">
        <v>3</v>
      </c>
      <c r="Z158" s="5" t="s">
        <v>447</v>
      </c>
      <c r="AA158" s="5" t="s">
        <v>928</v>
      </c>
      <c r="AB158" s="16" t="s">
        <v>3</v>
      </c>
    </row>
    <row r="159" spans="2:28" x14ac:dyDescent="0.25">
      <c r="B159" s="18" t="s">
        <v>202</v>
      </c>
      <c r="C159" s="44" t="s">
        <v>2607</v>
      </c>
      <c r="D159" s="20" t="s">
        <v>1513</v>
      </c>
      <c r="E159" s="51" t="s">
        <v>3</v>
      </c>
      <c r="F159" s="11">
        <v>44185</v>
      </c>
      <c r="G159" s="5" t="s">
        <v>2686</v>
      </c>
      <c r="H159" s="2"/>
      <c r="I159" s="4">
        <v>2095119</v>
      </c>
      <c r="J159" s="4">
        <v>2095119</v>
      </c>
      <c r="K159" s="4">
        <v>2094793</v>
      </c>
      <c r="L159" s="4">
        <v>2094799</v>
      </c>
      <c r="M159" s="4">
        <v>0</v>
      </c>
      <c r="N159" s="4">
        <v>320</v>
      </c>
      <c r="O159" s="4">
        <v>0</v>
      </c>
      <c r="P159" s="24">
        <v>320</v>
      </c>
      <c r="Q159" s="4">
        <v>0</v>
      </c>
      <c r="R159" s="4">
        <v>2095119</v>
      </c>
      <c r="S159" s="4">
        <v>0</v>
      </c>
      <c r="T159" s="4">
        <v>0</v>
      </c>
      <c r="U159" s="24">
        <v>0</v>
      </c>
      <c r="V159" s="4">
        <v>24758</v>
      </c>
      <c r="W159" s="11">
        <v>50698</v>
      </c>
      <c r="X159" s="2"/>
      <c r="Y159" s="5" t="s">
        <v>3</v>
      </c>
      <c r="Z159" s="5" t="s">
        <v>4082</v>
      </c>
      <c r="AA159" s="5" t="s">
        <v>928</v>
      </c>
      <c r="AB159" s="16" t="s">
        <v>3</v>
      </c>
    </row>
    <row r="160" spans="2:28" x14ac:dyDescent="0.25">
      <c r="B160" s="18" t="s">
        <v>1572</v>
      </c>
      <c r="C160" s="44" t="s">
        <v>4282</v>
      </c>
      <c r="D160" s="20" t="s">
        <v>2061</v>
      </c>
      <c r="E160" s="51" t="s">
        <v>3</v>
      </c>
      <c r="F160" s="11">
        <v>44017</v>
      </c>
      <c r="G160" s="5" t="s">
        <v>2194</v>
      </c>
      <c r="H160" s="2"/>
      <c r="I160" s="4">
        <v>429975</v>
      </c>
      <c r="J160" s="4">
        <v>429975</v>
      </c>
      <c r="K160" s="4">
        <v>429975</v>
      </c>
      <c r="L160" s="4">
        <v>429975</v>
      </c>
      <c r="M160" s="4">
        <v>0</v>
      </c>
      <c r="N160" s="4">
        <v>0</v>
      </c>
      <c r="O160" s="4">
        <v>0</v>
      </c>
      <c r="P160" s="24">
        <v>0</v>
      </c>
      <c r="Q160" s="4">
        <v>0</v>
      </c>
      <c r="R160" s="4">
        <v>429975</v>
      </c>
      <c r="S160" s="4">
        <v>0</v>
      </c>
      <c r="T160" s="4">
        <v>0</v>
      </c>
      <c r="U160" s="24">
        <v>0</v>
      </c>
      <c r="V160" s="4">
        <v>14789</v>
      </c>
      <c r="W160" s="11">
        <v>45930</v>
      </c>
      <c r="X160" s="2"/>
      <c r="Y160" s="5" t="s">
        <v>3</v>
      </c>
      <c r="Z160" s="5" t="s">
        <v>1751</v>
      </c>
      <c r="AA160" s="5" t="s">
        <v>1751</v>
      </c>
      <c r="AB160" s="16" t="s">
        <v>3</v>
      </c>
    </row>
    <row r="161" spans="2:28" x14ac:dyDescent="0.25">
      <c r="B161" s="18" t="s">
        <v>2657</v>
      </c>
      <c r="C161" s="44" t="s">
        <v>534</v>
      </c>
      <c r="D161" s="20" t="s">
        <v>3719</v>
      </c>
      <c r="E161" s="51" t="s">
        <v>3</v>
      </c>
      <c r="F161" s="11">
        <v>44185</v>
      </c>
      <c r="G161" s="5" t="s">
        <v>2686</v>
      </c>
      <c r="H161" s="2"/>
      <c r="I161" s="4">
        <v>1000000</v>
      </c>
      <c r="J161" s="4">
        <v>1000000</v>
      </c>
      <c r="K161" s="4">
        <v>999954</v>
      </c>
      <c r="L161" s="4">
        <v>999962</v>
      </c>
      <c r="M161" s="4">
        <v>0</v>
      </c>
      <c r="N161" s="4">
        <v>38</v>
      </c>
      <c r="O161" s="4">
        <v>0</v>
      </c>
      <c r="P161" s="24">
        <v>38</v>
      </c>
      <c r="Q161" s="4">
        <v>0</v>
      </c>
      <c r="R161" s="4">
        <v>1000000</v>
      </c>
      <c r="S161" s="4">
        <v>0</v>
      </c>
      <c r="T161" s="4">
        <v>0</v>
      </c>
      <c r="U161" s="24">
        <v>0</v>
      </c>
      <c r="V161" s="4">
        <v>19142</v>
      </c>
      <c r="W161" s="11">
        <v>45036</v>
      </c>
      <c r="X161" s="2"/>
      <c r="Y161" s="5" t="s">
        <v>3</v>
      </c>
      <c r="Z161" s="5" t="s">
        <v>4085</v>
      </c>
      <c r="AA161" s="5" t="s">
        <v>928</v>
      </c>
      <c r="AB161" s="16" t="s">
        <v>3</v>
      </c>
    </row>
    <row r="162" spans="2:28" x14ac:dyDescent="0.25">
      <c r="B162" s="18" t="s">
        <v>3774</v>
      </c>
      <c r="C162" s="44" t="s">
        <v>160</v>
      </c>
      <c r="D162" s="20" t="s">
        <v>3719</v>
      </c>
      <c r="E162" s="51" t="s">
        <v>3</v>
      </c>
      <c r="F162" s="11">
        <v>44185</v>
      </c>
      <c r="G162" s="5" t="s">
        <v>2686</v>
      </c>
      <c r="H162" s="2"/>
      <c r="I162" s="4">
        <v>185779</v>
      </c>
      <c r="J162" s="4">
        <v>185779</v>
      </c>
      <c r="K162" s="4">
        <v>185766</v>
      </c>
      <c r="L162" s="4">
        <v>185765</v>
      </c>
      <c r="M162" s="4">
        <v>0</v>
      </c>
      <c r="N162" s="4">
        <v>14</v>
      </c>
      <c r="O162" s="4">
        <v>0</v>
      </c>
      <c r="P162" s="24">
        <v>14</v>
      </c>
      <c r="Q162" s="4">
        <v>0</v>
      </c>
      <c r="R162" s="4">
        <v>185779</v>
      </c>
      <c r="S162" s="4">
        <v>0</v>
      </c>
      <c r="T162" s="4">
        <v>0</v>
      </c>
      <c r="U162" s="24">
        <v>0</v>
      </c>
      <c r="V162" s="4">
        <v>6577</v>
      </c>
      <c r="W162" s="11">
        <v>45068</v>
      </c>
      <c r="X162" s="2"/>
      <c r="Y162" s="5" t="s">
        <v>3</v>
      </c>
      <c r="Z162" s="5" t="s">
        <v>4085</v>
      </c>
      <c r="AA162" s="5" t="s">
        <v>928</v>
      </c>
      <c r="AB162" s="16" t="s">
        <v>3</v>
      </c>
    </row>
    <row r="163" spans="2:28" x14ac:dyDescent="0.25">
      <c r="B163" s="18" t="s">
        <v>497</v>
      </c>
      <c r="C163" s="44" t="s">
        <v>3156</v>
      </c>
      <c r="D163" s="20" t="s">
        <v>867</v>
      </c>
      <c r="E163" s="51" t="s">
        <v>3</v>
      </c>
      <c r="F163" s="11">
        <v>44133</v>
      </c>
      <c r="G163" s="5" t="s">
        <v>1959</v>
      </c>
      <c r="H163" s="2"/>
      <c r="I163" s="4">
        <v>1691130</v>
      </c>
      <c r="J163" s="4">
        <v>1500000</v>
      </c>
      <c r="K163" s="4">
        <v>1490280</v>
      </c>
      <c r="L163" s="4">
        <v>1492300</v>
      </c>
      <c r="M163" s="4">
        <v>0</v>
      </c>
      <c r="N163" s="4">
        <v>7700</v>
      </c>
      <c r="O163" s="4">
        <v>0</v>
      </c>
      <c r="P163" s="24">
        <v>7700</v>
      </c>
      <c r="Q163" s="4">
        <v>0</v>
      </c>
      <c r="R163" s="4">
        <v>1691130</v>
      </c>
      <c r="S163" s="4">
        <v>0</v>
      </c>
      <c r="T163" s="4">
        <v>0</v>
      </c>
      <c r="U163" s="24">
        <v>0</v>
      </c>
      <c r="V163" s="4">
        <v>250047</v>
      </c>
      <c r="W163" s="11">
        <v>45731</v>
      </c>
      <c r="X163" s="2"/>
      <c r="Y163" s="5" t="s">
        <v>1215</v>
      </c>
      <c r="Z163" s="5" t="s">
        <v>4288</v>
      </c>
      <c r="AA163" s="5" t="s">
        <v>3</v>
      </c>
      <c r="AB163" s="16" t="s">
        <v>3</v>
      </c>
    </row>
    <row r="164" spans="2:28" x14ac:dyDescent="0.25">
      <c r="B164" s="18" t="s">
        <v>1573</v>
      </c>
      <c r="C164" s="44" t="s">
        <v>1001</v>
      </c>
      <c r="D164" s="20" t="s">
        <v>3052</v>
      </c>
      <c r="E164" s="51" t="s">
        <v>3</v>
      </c>
      <c r="F164" s="11">
        <v>44119</v>
      </c>
      <c r="G164" s="5" t="s">
        <v>2194</v>
      </c>
      <c r="H164" s="2"/>
      <c r="I164" s="4">
        <v>309501</v>
      </c>
      <c r="J164" s="4">
        <v>309501</v>
      </c>
      <c r="K164" s="4">
        <v>309501</v>
      </c>
      <c r="L164" s="4">
        <v>309501</v>
      </c>
      <c r="M164" s="4">
        <v>0</v>
      </c>
      <c r="N164" s="4">
        <v>0</v>
      </c>
      <c r="O164" s="4">
        <v>0</v>
      </c>
      <c r="P164" s="24">
        <v>0</v>
      </c>
      <c r="Q164" s="4">
        <v>0</v>
      </c>
      <c r="R164" s="4">
        <v>309501</v>
      </c>
      <c r="S164" s="4">
        <v>0</v>
      </c>
      <c r="T164" s="4">
        <v>0</v>
      </c>
      <c r="U164" s="24">
        <v>0</v>
      </c>
      <c r="V164" s="4">
        <v>6351</v>
      </c>
      <c r="W164" s="11">
        <v>47953</v>
      </c>
      <c r="X164" s="2"/>
      <c r="Y164" s="5" t="s">
        <v>3</v>
      </c>
      <c r="Z164" s="5" t="s">
        <v>652</v>
      </c>
      <c r="AA164" s="5" t="s">
        <v>3</v>
      </c>
      <c r="AB164" s="16" t="s">
        <v>3</v>
      </c>
    </row>
    <row r="165" spans="2:28" x14ac:dyDescent="0.25">
      <c r="B165" s="18" t="s">
        <v>2658</v>
      </c>
      <c r="C165" s="44" t="s">
        <v>2610</v>
      </c>
      <c r="D165" s="20" t="s">
        <v>1078</v>
      </c>
      <c r="E165" s="51" t="s">
        <v>3</v>
      </c>
      <c r="F165" s="11">
        <v>44185</v>
      </c>
      <c r="G165" s="5" t="s">
        <v>2686</v>
      </c>
      <c r="H165" s="2"/>
      <c r="I165" s="4">
        <v>278906</v>
      </c>
      <c r="J165" s="4">
        <v>278906</v>
      </c>
      <c r="K165" s="4">
        <v>278904</v>
      </c>
      <c r="L165" s="4">
        <v>278901</v>
      </c>
      <c r="M165" s="4">
        <v>0</v>
      </c>
      <c r="N165" s="4">
        <v>5</v>
      </c>
      <c r="O165" s="4">
        <v>0</v>
      </c>
      <c r="P165" s="24">
        <v>5</v>
      </c>
      <c r="Q165" s="4">
        <v>0</v>
      </c>
      <c r="R165" s="4">
        <v>278906</v>
      </c>
      <c r="S165" s="4">
        <v>0</v>
      </c>
      <c r="T165" s="4">
        <v>0</v>
      </c>
      <c r="U165" s="24">
        <v>0</v>
      </c>
      <c r="V165" s="4">
        <v>5278</v>
      </c>
      <c r="W165" s="11">
        <v>53986</v>
      </c>
      <c r="X165" s="2"/>
      <c r="Y165" s="5" t="s">
        <v>3</v>
      </c>
      <c r="Z165" s="5" t="s">
        <v>2148</v>
      </c>
      <c r="AA165" s="5" t="s">
        <v>928</v>
      </c>
      <c r="AB165" s="16" t="s">
        <v>3</v>
      </c>
    </row>
    <row r="166" spans="2:28" x14ac:dyDescent="0.25">
      <c r="B166" s="18" t="s">
        <v>3775</v>
      </c>
      <c r="C166" s="44" t="s">
        <v>4290</v>
      </c>
      <c r="D166" s="20" t="s">
        <v>654</v>
      </c>
      <c r="E166" s="51" t="s">
        <v>3</v>
      </c>
      <c r="F166" s="11">
        <v>44119</v>
      </c>
      <c r="G166" s="5" t="s">
        <v>2194</v>
      </c>
      <c r="H166" s="2"/>
      <c r="I166" s="4">
        <v>1210225</v>
      </c>
      <c r="J166" s="4">
        <v>1210225</v>
      </c>
      <c r="K166" s="4">
        <v>1319303</v>
      </c>
      <c r="L166" s="4">
        <v>1280010</v>
      </c>
      <c r="M166" s="4">
        <v>0</v>
      </c>
      <c r="N166" s="4">
        <v>-69785</v>
      </c>
      <c r="O166" s="4">
        <v>0</v>
      </c>
      <c r="P166" s="24">
        <v>-69785</v>
      </c>
      <c r="Q166" s="4">
        <v>0</v>
      </c>
      <c r="R166" s="4">
        <v>1210225</v>
      </c>
      <c r="S166" s="4">
        <v>0</v>
      </c>
      <c r="T166" s="4">
        <v>0</v>
      </c>
      <c r="U166" s="24">
        <v>0</v>
      </c>
      <c r="V166" s="4">
        <v>51063</v>
      </c>
      <c r="W166" s="11">
        <v>45382</v>
      </c>
      <c r="X166" s="2"/>
      <c r="Y166" s="5" t="s">
        <v>3</v>
      </c>
      <c r="Z166" s="5" t="s">
        <v>654</v>
      </c>
      <c r="AA166" s="5" t="s">
        <v>3</v>
      </c>
      <c r="AB166" s="16" t="s">
        <v>3</v>
      </c>
    </row>
    <row r="167" spans="2:28" x14ac:dyDescent="0.25">
      <c r="B167" s="18" t="s">
        <v>498</v>
      </c>
      <c r="C167" s="44" t="s">
        <v>1325</v>
      </c>
      <c r="D167" s="20" t="s">
        <v>1138</v>
      </c>
      <c r="E167" s="51" t="s">
        <v>3</v>
      </c>
      <c r="F167" s="11">
        <v>43896</v>
      </c>
      <c r="G167" s="5" t="s">
        <v>535</v>
      </c>
      <c r="H167" s="2"/>
      <c r="I167" s="4">
        <v>5172650</v>
      </c>
      <c r="J167" s="4">
        <v>5000000</v>
      </c>
      <c r="K167" s="4">
        <v>5170450</v>
      </c>
      <c r="L167" s="4">
        <v>5106932</v>
      </c>
      <c r="M167" s="4">
        <v>0</v>
      </c>
      <c r="N167" s="4">
        <v>-106932</v>
      </c>
      <c r="O167" s="4">
        <v>0</v>
      </c>
      <c r="P167" s="24">
        <v>-106932</v>
      </c>
      <c r="Q167" s="4">
        <v>0</v>
      </c>
      <c r="R167" s="4">
        <v>5172650</v>
      </c>
      <c r="S167" s="4">
        <v>0</v>
      </c>
      <c r="T167" s="4">
        <v>0</v>
      </c>
      <c r="U167" s="24">
        <v>0</v>
      </c>
      <c r="V167" s="4">
        <v>266834</v>
      </c>
      <c r="W167" s="11">
        <v>44287</v>
      </c>
      <c r="X167" s="2"/>
      <c r="Y167" s="5" t="s">
        <v>2412</v>
      </c>
      <c r="Z167" s="5" t="s">
        <v>1138</v>
      </c>
      <c r="AA167" s="5" t="s">
        <v>3</v>
      </c>
      <c r="AB167" s="16" t="s">
        <v>3</v>
      </c>
    </row>
    <row r="168" spans="2:28" x14ac:dyDescent="0.25">
      <c r="B168" s="18" t="s">
        <v>1574</v>
      </c>
      <c r="C168" s="44" t="s">
        <v>3819</v>
      </c>
      <c r="D168" s="20" t="s">
        <v>3053</v>
      </c>
      <c r="E168" s="51" t="s">
        <v>3</v>
      </c>
      <c r="F168" s="11">
        <v>44013</v>
      </c>
      <c r="G168" s="5" t="s">
        <v>1104</v>
      </c>
      <c r="H168" s="2"/>
      <c r="I168" s="4">
        <v>5021000</v>
      </c>
      <c r="J168" s="4">
        <v>5000000</v>
      </c>
      <c r="K168" s="4">
        <v>5024329</v>
      </c>
      <c r="L168" s="4">
        <v>5003013</v>
      </c>
      <c r="M168" s="4">
        <v>0</v>
      </c>
      <c r="N168" s="4">
        <v>-1654</v>
      </c>
      <c r="O168" s="4">
        <v>0</v>
      </c>
      <c r="P168" s="24">
        <v>-1654</v>
      </c>
      <c r="Q168" s="4">
        <v>0</v>
      </c>
      <c r="R168" s="4">
        <v>5001359</v>
      </c>
      <c r="S168" s="4">
        <v>0</v>
      </c>
      <c r="T168" s="4">
        <v>19641</v>
      </c>
      <c r="U168" s="24">
        <v>19641</v>
      </c>
      <c r="V168" s="4">
        <v>188486</v>
      </c>
      <c r="W168" s="11">
        <v>44228</v>
      </c>
      <c r="X168" s="2"/>
      <c r="Y168" s="5" t="s">
        <v>3054</v>
      </c>
      <c r="Z168" s="5" t="s">
        <v>3053</v>
      </c>
      <c r="AA168" s="5" t="s">
        <v>3</v>
      </c>
      <c r="AB168" s="16" t="s">
        <v>3</v>
      </c>
    </row>
    <row r="169" spans="2:28" x14ac:dyDescent="0.25">
      <c r="B169" s="18" t="s">
        <v>3776</v>
      </c>
      <c r="C169" s="44" t="s">
        <v>3722</v>
      </c>
      <c r="D169" s="20" t="s">
        <v>2967</v>
      </c>
      <c r="E169" s="51" t="s">
        <v>3</v>
      </c>
      <c r="F169" s="11">
        <v>44173</v>
      </c>
      <c r="G169" s="5" t="s">
        <v>2686</v>
      </c>
      <c r="H169" s="2"/>
      <c r="I169" s="4">
        <v>1859249</v>
      </c>
      <c r="J169" s="4">
        <v>1859249</v>
      </c>
      <c r="K169" s="4">
        <v>1813785</v>
      </c>
      <c r="L169" s="4">
        <v>1821234</v>
      </c>
      <c r="M169" s="4">
        <v>0</v>
      </c>
      <c r="N169" s="4">
        <v>38015</v>
      </c>
      <c r="O169" s="4">
        <v>0</v>
      </c>
      <c r="P169" s="24">
        <v>38015</v>
      </c>
      <c r="Q169" s="4">
        <v>0</v>
      </c>
      <c r="R169" s="4">
        <v>1859249</v>
      </c>
      <c r="S169" s="4">
        <v>0</v>
      </c>
      <c r="T169" s="4">
        <v>0</v>
      </c>
      <c r="U169" s="24">
        <v>0</v>
      </c>
      <c r="V169" s="4">
        <v>25165</v>
      </c>
      <c r="W169" s="11">
        <v>47185</v>
      </c>
      <c r="X169" s="2"/>
      <c r="Y169" s="5" t="s">
        <v>3</v>
      </c>
      <c r="Z169" s="5" t="s">
        <v>3237</v>
      </c>
      <c r="AA169" s="5" t="s">
        <v>928</v>
      </c>
      <c r="AB169" s="16" t="s">
        <v>3</v>
      </c>
    </row>
    <row r="170" spans="2:28" x14ac:dyDescent="0.25">
      <c r="B170" s="18" t="s">
        <v>500</v>
      </c>
      <c r="C170" s="44" t="s">
        <v>1272</v>
      </c>
      <c r="D170" s="20" t="s">
        <v>2967</v>
      </c>
      <c r="E170" s="51" t="s">
        <v>3</v>
      </c>
      <c r="F170" s="11">
        <v>44174</v>
      </c>
      <c r="G170" s="5" t="s">
        <v>2686</v>
      </c>
      <c r="H170" s="2"/>
      <c r="I170" s="4">
        <v>1057264</v>
      </c>
      <c r="J170" s="4">
        <v>1057264</v>
      </c>
      <c r="K170" s="4">
        <v>1057122</v>
      </c>
      <c r="L170" s="4">
        <v>1057127</v>
      </c>
      <c r="M170" s="4">
        <v>0</v>
      </c>
      <c r="N170" s="4">
        <v>137</v>
      </c>
      <c r="O170" s="4">
        <v>0</v>
      </c>
      <c r="P170" s="24">
        <v>137</v>
      </c>
      <c r="Q170" s="4">
        <v>0</v>
      </c>
      <c r="R170" s="4">
        <v>1057264</v>
      </c>
      <c r="S170" s="4">
        <v>0</v>
      </c>
      <c r="T170" s="4">
        <v>0</v>
      </c>
      <c r="U170" s="24">
        <v>0</v>
      </c>
      <c r="V170" s="4">
        <v>15713</v>
      </c>
      <c r="W170" s="11">
        <v>50504</v>
      </c>
      <c r="X170" s="2"/>
      <c r="Y170" s="5" t="s">
        <v>3</v>
      </c>
      <c r="Z170" s="5" t="s">
        <v>3237</v>
      </c>
      <c r="AA170" s="5" t="s">
        <v>928</v>
      </c>
      <c r="AB170" s="16" t="s">
        <v>3</v>
      </c>
    </row>
    <row r="171" spans="2:28" x14ac:dyDescent="0.25">
      <c r="B171" s="18" t="s">
        <v>1575</v>
      </c>
      <c r="C171" s="44" t="s">
        <v>2202</v>
      </c>
      <c r="D171" s="20" t="s">
        <v>2413</v>
      </c>
      <c r="E171" s="51" t="s">
        <v>3</v>
      </c>
      <c r="F171" s="11">
        <v>44119</v>
      </c>
      <c r="G171" s="5" t="s">
        <v>2686</v>
      </c>
      <c r="H171" s="2"/>
      <c r="I171" s="4">
        <v>981737</v>
      </c>
      <c r="J171" s="4">
        <v>981737</v>
      </c>
      <c r="K171" s="4">
        <v>981737</v>
      </c>
      <c r="L171" s="4">
        <v>981737</v>
      </c>
      <c r="M171" s="4">
        <v>0</v>
      </c>
      <c r="N171" s="4">
        <v>0</v>
      </c>
      <c r="O171" s="4">
        <v>0</v>
      </c>
      <c r="P171" s="24">
        <v>0</v>
      </c>
      <c r="Q171" s="4">
        <v>0</v>
      </c>
      <c r="R171" s="4">
        <v>981737</v>
      </c>
      <c r="S171" s="4">
        <v>0</v>
      </c>
      <c r="T171" s="4">
        <v>0</v>
      </c>
      <c r="U171" s="24">
        <v>0</v>
      </c>
      <c r="V171" s="4">
        <v>19509</v>
      </c>
      <c r="W171" s="11">
        <v>45460</v>
      </c>
      <c r="X171" s="2"/>
      <c r="Y171" s="5" t="s">
        <v>3</v>
      </c>
      <c r="Z171" s="5" t="s">
        <v>1517</v>
      </c>
      <c r="AA171" s="5" t="s">
        <v>1517</v>
      </c>
      <c r="AB171" s="16" t="s">
        <v>3</v>
      </c>
    </row>
    <row r="172" spans="2:28" x14ac:dyDescent="0.25">
      <c r="B172" s="18" t="s">
        <v>2660</v>
      </c>
      <c r="C172" s="44" t="s">
        <v>868</v>
      </c>
      <c r="D172" s="20" t="s">
        <v>4427</v>
      </c>
      <c r="E172" s="51" t="s">
        <v>3</v>
      </c>
      <c r="F172" s="11">
        <v>44054</v>
      </c>
      <c r="G172" s="5" t="s">
        <v>848</v>
      </c>
      <c r="H172" s="2"/>
      <c r="I172" s="4">
        <v>1250000</v>
      </c>
      <c r="J172" s="4">
        <v>1250000</v>
      </c>
      <c r="K172" s="4">
        <v>1251140</v>
      </c>
      <c r="L172" s="4">
        <v>1250164</v>
      </c>
      <c r="M172" s="4">
        <v>0</v>
      </c>
      <c r="N172" s="4">
        <v>-164</v>
      </c>
      <c r="O172" s="4">
        <v>0</v>
      </c>
      <c r="P172" s="24">
        <v>-164</v>
      </c>
      <c r="Q172" s="4">
        <v>0</v>
      </c>
      <c r="R172" s="4">
        <v>1250000</v>
      </c>
      <c r="S172" s="4">
        <v>0</v>
      </c>
      <c r="T172" s="4">
        <v>0</v>
      </c>
      <c r="U172" s="24">
        <v>0</v>
      </c>
      <c r="V172" s="4">
        <v>54688</v>
      </c>
      <c r="W172" s="11">
        <v>44054</v>
      </c>
      <c r="X172" s="2"/>
      <c r="Y172" s="5" t="s">
        <v>1326</v>
      </c>
      <c r="Z172" s="5" t="s">
        <v>3291</v>
      </c>
      <c r="AA172" s="5" t="s">
        <v>3</v>
      </c>
      <c r="AB172" s="16" t="s">
        <v>3</v>
      </c>
    </row>
    <row r="173" spans="2:28" x14ac:dyDescent="0.25">
      <c r="B173" s="18" t="s">
        <v>3777</v>
      </c>
      <c r="C173" s="44" t="s">
        <v>1139</v>
      </c>
      <c r="D173" s="20" t="s">
        <v>1140</v>
      </c>
      <c r="E173" s="51" t="s">
        <v>3</v>
      </c>
      <c r="F173" s="11">
        <v>44012</v>
      </c>
      <c r="G173" s="5" t="s">
        <v>3820</v>
      </c>
      <c r="H173" s="2"/>
      <c r="I173" s="4">
        <v>11296395</v>
      </c>
      <c r="J173" s="4">
        <v>11160000</v>
      </c>
      <c r="K173" s="4">
        <v>11347626</v>
      </c>
      <c r="L173" s="4">
        <v>11198393</v>
      </c>
      <c r="M173" s="4">
        <v>0</v>
      </c>
      <c r="N173" s="4">
        <v>-38392.839999999997</v>
      </c>
      <c r="O173" s="4">
        <v>0</v>
      </c>
      <c r="P173" s="24">
        <v>-38392.839999999997</v>
      </c>
      <c r="Q173" s="4">
        <v>0</v>
      </c>
      <c r="R173" s="4">
        <v>11296395</v>
      </c>
      <c r="S173" s="4">
        <v>0</v>
      </c>
      <c r="T173" s="4">
        <v>0</v>
      </c>
      <c r="U173" s="24">
        <v>0</v>
      </c>
      <c r="V173" s="4">
        <v>387494.84</v>
      </c>
      <c r="W173" s="11">
        <v>44150</v>
      </c>
      <c r="X173" s="2"/>
      <c r="Y173" s="5" t="s">
        <v>3055</v>
      </c>
      <c r="Z173" s="5" t="s">
        <v>3292</v>
      </c>
      <c r="AA173" s="5" t="s">
        <v>3</v>
      </c>
      <c r="AB173" s="16" t="s">
        <v>3</v>
      </c>
    </row>
    <row r="174" spans="2:28" x14ac:dyDescent="0.25">
      <c r="B174" s="18" t="s">
        <v>501</v>
      </c>
      <c r="C174" s="44" t="s">
        <v>1327</v>
      </c>
      <c r="D174" s="20" t="s">
        <v>2293</v>
      </c>
      <c r="E174" s="51" t="s">
        <v>3</v>
      </c>
      <c r="F174" s="11">
        <v>43955</v>
      </c>
      <c r="G174" s="5" t="s">
        <v>1104</v>
      </c>
      <c r="H174" s="2"/>
      <c r="I174" s="4">
        <v>7000000</v>
      </c>
      <c r="J174" s="4">
        <v>7000000</v>
      </c>
      <c r="K174" s="4">
        <v>6984365</v>
      </c>
      <c r="L174" s="4">
        <v>6998592</v>
      </c>
      <c r="M174" s="4">
        <v>0</v>
      </c>
      <c r="N174" s="4">
        <v>1408</v>
      </c>
      <c r="O174" s="4">
        <v>0</v>
      </c>
      <c r="P174" s="24">
        <v>1408</v>
      </c>
      <c r="Q174" s="4">
        <v>0</v>
      </c>
      <c r="R174" s="4">
        <v>7000000</v>
      </c>
      <c r="S174" s="4">
        <v>0</v>
      </c>
      <c r="T174" s="4">
        <v>0</v>
      </c>
      <c r="U174" s="24">
        <v>0</v>
      </c>
      <c r="V174" s="4">
        <v>68425</v>
      </c>
      <c r="W174" s="11">
        <v>43983</v>
      </c>
      <c r="X174" s="2"/>
      <c r="Y174" s="5" t="s">
        <v>3957</v>
      </c>
      <c r="Z174" s="5" t="s">
        <v>2293</v>
      </c>
      <c r="AA174" s="5" t="s">
        <v>3</v>
      </c>
      <c r="AB174" s="16" t="s">
        <v>3</v>
      </c>
    </row>
    <row r="175" spans="2:28" x14ac:dyDescent="0.25">
      <c r="B175" s="18" t="s">
        <v>1576</v>
      </c>
      <c r="C175" s="44" t="s">
        <v>4179</v>
      </c>
      <c r="D175" s="20" t="s">
        <v>229</v>
      </c>
      <c r="E175" s="51" t="s">
        <v>3</v>
      </c>
      <c r="F175" s="11">
        <v>44165</v>
      </c>
      <c r="G175" s="5" t="s">
        <v>2414</v>
      </c>
      <c r="H175" s="2"/>
      <c r="I175" s="4">
        <v>4944492</v>
      </c>
      <c r="J175" s="4">
        <v>4900000</v>
      </c>
      <c r="K175" s="4">
        <v>4892797</v>
      </c>
      <c r="L175" s="4">
        <v>4897879</v>
      </c>
      <c r="M175" s="4">
        <v>0</v>
      </c>
      <c r="N175" s="4">
        <v>2121</v>
      </c>
      <c r="O175" s="4">
        <v>0</v>
      </c>
      <c r="P175" s="24">
        <v>2121</v>
      </c>
      <c r="Q175" s="4">
        <v>0</v>
      </c>
      <c r="R175" s="4">
        <v>4944492</v>
      </c>
      <c r="S175" s="4">
        <v>0</v>
      </c>
      <c r="T175" s="4">
        <v>0</v>
      </c>
      <c r="U175" s="24">
        <v>0</v>
      </c>
      <c r="V175" s="4">
        <v>138715</v>
      </c>
      <c r="W175" s="11">
        <v>44350</v>
      </c>
      <c r="X175" s="2"/>
      <c r="Y175" s="5" t="s">
        <v>362</v>
      </c>
      <c r="Z175" s="5" t="s">
        <v>2075</v>
      </c>
      <c r="AA175" s="5" t="s">
        <v>3</v>
      </c>
      <c r="AB175" s="16" t="s">
        <v>3</v>
      </c>
    </row>
    <row r="176" spans="2:28" x14ac:dyDescent="0.25">
      <c r="B176" s="18" t="s">
        <v>2661</v>
      </c>
      <c r="C176" s="44" t="s">
        <v>1612</v>
      </c>
      <c r="D176" s="20" t="s">
        <v>869</v>
      </c>
      <c r="E176" s="51" t="s">
        <v>3</v>
      </c>
      <c r="F176" s="11">
        <v>43969</v>
      </c>
      <c r="G176" s="5" t="s">
        <v>3293</v>
      </c>
      <c r="H176" s="2"/>
      <c r="I176" s="4">
        <v>5168950</v>
      </c>
      <c r="J176" s="4">
        <v>5000000</v>
      </c>
      <c r="K176" s="4">
        <v>4945710</v>
      </c>
      <c r="L176" s="4">
        <v>4992092</v>
      </c>
      <c r="M176" s="4">
        <v>0</v>
      </c>
      <c r="N176" s="4">
        <v>7908</v>
      </c>
      <c r="O176" s="4">
        <v>0</v>
      </c>
      <c r="P176" s="24">
        <v>7908</v>
      </c>
      <c r="Q176" s="4">
        <v>0</v>
      </c>
      <c r="R176" s="4">
        <v>5168950</v>
      </c>
      <c r="S176" s="4">
        <v>0</v>
      </c>
      <c r="T176" s="4">
        <v>0</v>
      </c>
      <c r="U176" s="24">
        <v>0</v>
      </c>
      <c r="V176" s="4">
        <v>327575</v>
      </c>
      <c r="W176" s="11">
        <v>44270</v>
      </c>
      <c r="X176" s="2"/>
      <c r="Y176" s="5" t="s">
        <v>3056</v>
      </c>
      <c r="Z176" s="5" t="s">
        <v>869</v>
      </c>
      <c r="AA176" s="5" t="s">
        <v>3</v>
      </c>
      <c r="AB176" s="16" t="s">
        <v>3</v>
      </c>
    </row>
    <row r="177" spans="2:28" x14ac:dyDescent="0.25">
      <c r="B177" s="18" t="s">
        <v>4135</v>
      </c>
      <c r="C177" s="44" t="s">
        <v>1431</v>
      </c>
      <c r="D177" s="20" t="s">
        <v>3964</v>
      </c>
      <c r="E177" s="51" t="s">
        <v>3</v>
      </c>
      <c r="F177" s="11">
        <v>44087</v>
      </c>
      <c r="G177" s="5" t="s">
        <v>2194</v>
      </c>
      <c r="H177" s="2"/>
      <c r="I177" s="4">
        <v>444469</v>
      </c>
      <c r="J177" s="4">
        <v>444469</v>
      </c>
      <c r="K177" s="4">
        <v>456113</v>
      </c>
      <c r="L177" s="4">
        <v>452638</v>
      </c>
      <c r="M177" s="4">
        <v>0</v>
      </c>
      <c r="N177" s="4">
        <v>-8169</v>
      </c>
      <c r="O177" s="4">
        <v>0</v>
      </c>
      <c r="P177" s="24">
        <v>-8169</v>
      </c>
      <c r="Q177" s="4">
        <v>0</v>
      </c>
      <c r="R177" s="4">
        <v>444469</v>
      </c>
      <c r="S177" s="4">
        <v>0</v>
      </c>
      <c r="T177" s="4">
        <v>0</v>
      </c>
      <c r="U177" s="24">
        <v>0</v>
      </c>
      <c r="V177" s="4">
        <v>10001</v>
      </c>
      <c r="W177" s="11">
        <v>46643</v>
      </c>
      <c r="X177" s="2"/>
      <c r="Y177" s="5" t="s">
        <v>3</v>
      </c>
      <c r="Z177" s="5" t="s">
        <v>2078</v>
      </c>
      <c r="AA177" s="5" t="s">
        <v>3965</v>
      </c>
      <c r="AB177" s="16" t="s">
        <v>3</v>
      </c>
    </row>
    <row r="178" spans="2:28" x14ac:dyDescent="0.25">
      <c r="B178" s="18" t="s">
        <v>823</v>
      </c>
      <c r="C178" s="44" t="s">
        <v>1328</v>
      </c>
      <c r="D178" s="20" t="s">
        <v>4302</v>
      </c>
      <c r="E178" s="51" t="s">
        <v>3</v>
      </c>
      <c r="F178" s="11">
        <v>44154</v>
      </c>
      <c r="G178" s="5" t="s">
        <v>848</v>
      </c>
      <c r="H178" s="2"/>
      <c r="I178" s="4">
        <v>10000000</v>
      </c>
      <c r="J178" s="4">
        <v>10000000</v>
      </c>
      <c r="K178" s="4">
        <v>9987900</v>
      </c>
      <c r="L178" s="4">
        <v>9997746</v>
      </c>
      <c r="M178" s="4">
        <v>0</v>
      </c>
      <c r="N178" s="4">
        <v>2254</v>
      </c>
      <c r="O178" s="4">
        <v>0</v>
      </c>
      <c r="P178" s="24">
        <v>2254</v>
      </c>
      <c r="Q178" s="4">
        <v>0</v>
      </c>
      <c r="R178" s="4">
        <v>10000000</v>
      </c>
      <c r="S178" s="4">
        <v>0</v>
      </c>
      <c r="T178" s="4">
        <v>0</v>
      </c>
      <c r="U178" s="24">
        <v>0</v>
      </c>
      <c r="V178" s="4">
        <v>262500</v>
      </c>
      <c r="W178" s="11">
        <v>44154</v>
      </c>
      <c r="X178" s="2"/>
      <c r="Y178" s="5" t="s">
        <v>3</v>
      </c>
      <c r="Z178" s="5" t="s">
        <v>4302</v>
      </c>
      <c r="AA178" s="5" t="s">
        <v>3</v>
      </c>
      <c r="AB178" s="16" t="s">
        <v>3</v>
      </c>
    </row>
    <row r="179" spans="2:28" x14ac:dyDescent="0.25">
      <c r="B179" s="18" t="s">
        <v>2662</v>
      </c>
      <c r="C179" s="44" t="s">
        <v>870</v>
      </c>
      <c r="D179" s="20" t="s">
        <v>1613</v>
      </c>
      <c r="E179" s="51" t="s">
        <v>3</v>
      </c>
      <c r="F179" s="11">
        <v>44004</v>
      </c>
      <c r="G179" s="5" t="s">
        <v>3821</v>
      </c>
      <c r="H179" s="2"/>
      <c r="I179" s="4">
        <v>2056776</v>
      </c>
      <c r="J179" s="4">
        <v>2000000</v>
      </c>
      <c r="K179" s="4">
        <v>1999992</v>
      </c>
      <c r="L179" s="4">
        <v>2000003</v>
      </c>
      <c r="M179" s="4">
        <v>0</v>
      </c>
      <c r="N179" s="4">
        <v>-2.88</v>
      </c>
      <c r="O179" s="4">
        <v>0</v>
      </c>
      <c r="P179" s="24">
        <v>-2.88</v>
      </c>
      <c r="Q179" s="4">
        <v>0</v>
      </c>
      <c r="R179" s="4">
        <v>2056776</v>
      </c>
      <c r="S179" s="4">
        <v>0</v>
      </c>
      <c r="T179" s="4">
        <v>0</v>
      </c>
      <c r="U179" s="24">
        <v>0</v>
      </c>
      <c r="V179" s="4">
        <v>123581.88</v>
      </c>
      <c r="W179" s="11">
        <v>44180</v>
      </c>
      <c r="X179" s="2"/>
      <c r="Y179" s="5" t="s">
        <v>1329</v>
      </c>
      <c r="Z179" s="5" t="s">
        <v>1613</v>
      </c>
      <c r="AA179" s="5" t="s">
        <v>3</v>
      </c>
      <c r="AB179" s="16" t="s">
        <v>3</v>
      </c>
    </row>
    <row r="180" spans="2:28" x14ac:dyDescent="0.25">
      <c r="B180" s="18" t="s">
        <v>3778</v>
      </c>
      <c r="C180" s="44" t="s">
        <v>871</v>
      </c>
      <c r="D180" s="20" t="s">
        <v>3515</v>
      </c>
      <c r="E180" s="51" t="s">
        <v>3</v>
      </c>
      <c r="F180" s="11">
        <v>43889</v>
      </c>
      <c r="G180" s="5" t="s">
        <v>1104</v>
      </c>
      <c r="H180" s="2"/>
      <c r="I180" s="4">
        <v>3336000</v>
      </c>
      <c r="J180" s="4">
        <v>3200000</v>
      </c>
      <c r="K180" s="4">
        <v>3270635</v>
      </c>
      <c r="L180" s="4">
        <v>3247186</v>
      </c>
      <c r="M180" s="4">
        <v>0</v>
      </c>
      <c r="N180" s="4">
        <v>-1739</v>
      </c>
      <c r="O180" s="4">
        <v>0</v>
      </c>
      <c r="P180" s="24">
        <v>-1739</v>
      </c>
      <c r="Q180" s="4">
        <v>0</v>
      </c>
      <c r="R180" s="4">
        <v>3245447</v>
      </c>
      <c r="S180" s="4">
        <v>0</v>
      </c>
      <c r="T180" s="4">
        <v>90553</v>
      </c>
      <c r="U180" s="24">
        <v>90553</v>
      </c>
      <c r="V180" s="4">
        <v>65529</v>
      </c>
      <c r="W180" s="11">
        <v>45383</v>
      </c>
      <c r="X180" s="2"/>
      <c r="Y180" s="5" t="s">
        <v>95</v>
      </c>
      <c r="Z180" s="5" t="s">
        <v>3971</v>
      </c>
      <c r="AA180" s="5" t="s">
        <v>3</v>
      </c>
      <c r="AB180" s="16" t="s">
        <v>3</v>
      </c>
    </row>
    <row r="181" spans="2:28" x14ac:dyDescent="0.25">
      <c r="B181" s="18" t="s">
        <v>502</v>
      </c>
      <c r="C181" s="44" t="s">
        <v>4428</v>
      </c>
      <c r="D181" s="20" t="s">
        <v>3057</v>
      </c>
      <c r="E181" s="51" t="s">
        <v>3</v>
      </c>
      <c r="F181" s="11">
        <v>43845</v>
      </c>
      <c r="G181" s="5" t="s">
        <v>848</v>
      </c>
      <c r="H181" s="2"/>
      <c r="I181" s="4">
        <v>5000000</v>
      </c>
      <c r="J181" s="4">
        <v>5000000</v>
      </c>
      <c r="K181" s="4">
        <v>4982950</v>
      </c>
      <c r="L181" s="4">
        <v>4999860</v>
      </c>
      <c r="M181" s="4">
        <v>0</v>
      </c>
      <c r="N181" s="4">
        <v>140</v>
      </c>
      <c r="O181" s="4">
        <v>0</v>
      </c>
      <c r="P181" s="24">
        <v>140</v>
      </c>
      <c r="Q181" s="4">
        <v>0</v>
      </c>
      <c r="R181" s="4">
        <v>5000000</v>
      </c>
      <c r="S181" s="4">
        <v>0</v>
      </c>
      <c r="T181" s="4">
        <v>0</v>
      </c>
      <c r="U181" s="24">
        <v>0</v>
      </c>
      <c r="V181" s="4">
        <v>62500</v>
      </c>
      <c r="W181" s="11">
        <v>43845</v>
      </c>
      <c r="X181" s="2"/>
      <c r="Y181" s="5" t="s">
        <v>3</v>
      </c>
      <c r="Z181" s="5" t="s">
        <v>3974</v>
      </c>
      <c r="AA181" s="5" t="s">
        <v>3974</v>
      </c>
      <c r="AB181" s="16" t="s">
        <v>3</v>
      </c>
    </row>
    <row r="182" spans="2:28" x14ac:dyDescent="0.25">
      <c r="B182" s="18" t="s">
        <v>1577</v>
      </c>
      <c r="C182" s="44" t="s">
        <v>4429</v>
      </c>
      <c r="D182" s="20" t="s">
        <v>230</v>
      </c>
      <c r="E182" s="51" t="s">
        <v>3</v>
      </c>
      <c r="F182" s="11">
        <v>43955</v>
      </c>
      <c r="G182" s="5" t="s">
        <v>848</v>
      </c>
      <c r="H182" s="2"/>
      <c r="I182" s="4">
        <v>5000000</v>
      </c>
      <c r="J182" s="4">
        <v>5000000</v>
      </c>
      <c r="K182" s="4">
        <v>4984800</v>
      </c>
      <c r="L182" s="4">
        <v>4998904</v>
      </c>
      <c r="M182" s="4">
        <v>0</v>
      </c>
      <c r="N182" s="4">
        <v>1096</v>
      </c>
      <c r="O182" s="4">
        <v>0</v>
      </c>
      <c r="P182" s="24">
        <v>1096</v>
      </c>
      <c r="Q182" s="4">
        <v>0</v>
      </c>
      <c r="R182" s="4">
        <v>5000000</v>
      </c>
      <c r="S182" s="4">
        <v>0</v>
      </c>
      <c r="T182" s="4">
        <v>0</v>
      </c>
      <c r="U182" s="24">
        <v>0</v>
      </c>
      <c r="V182" s="4">
        <v>59375</v>
      </c>
      <c r="W182" s="11">
        <v>43955</v>
      </c>
      <c r="X182" s="2"/>
      <c r="Y182" s="5" t="s">
        <v>3</v>
      </c>
      <c r="Z182" s="5" t="s">
        <v>3974</v>
      </c>
      <c r="AA182" s="5" t="s">
        <v>2042</v>
      </c>
      <c r="AB182" s="16" t="s">
        <v>3</v>
      </c>
    </row>
    <row r="183" spans="2:28" x14ac:dyDescent="0.25">
      <c r="B183" s="18" t="s">
        <v>2663</v>
      </c>
      <c r="C183" s="44" t="s">
        <v>231</v>
      </c>
      <c r="D183" s="20" t="s">
        <v>1141</v>
      </c>
      <c r="E183" s="51" t="s">
        <v>3</v>
      </c>
      <c r="F183" s="11">
        <v>44151</v>
      </c>
      <c r="G183" s="5" t="s">
        <v>526</v>
      </c>
      <c r="H183" s="2"/>
      <c r="I183" s="4">
        <v>5000000</v>
      </c>
      <c r="J183" s="4">
        <v>5000000</v>
      </c>
      <c r="K183" s="4">
        <v>4998100</v>
      </c>
      <c r="L183" s="4">
        <v>4999622</v>
      </c>
      <c r="M183" s="4">
        <v>0</v>
      </c>
      <c r="N183" s="4">
        <v>378</v>
      </c>
      <c r="O183" s="4">
        <v>0</v>
      </c>
      <c r="P183" s="24">
        <v>378</v>
      </c>
      <c r="Q183" s="4">
        <v>0</v>
      </c>
      <c r="R183" s="4">
        <v>5000000</v>
      </c>
      <c r="S183" s="4">
        <v>0</v>
      </c>
      <c r="T183" s="4">
        <v>0</v>
      </c>
      <c r="U183" s="24">
        <v>0</v>
      </c>
      <c r="V183" s="4">
        <v>137500</v>
      </c>
      <c r="W183" s="11">
        <v>44180</v>
      </c>
      <c r="X183" s="2"/>
      <c r="Y183" s="5" t="s">
        <v>1014</v>
      </c>
      <c r="Z183" s="5" t="s">
        <v>1141</v>
      </c>
      <c r="AA183" s="5" t="s">
        <v>3</v>
      </c>
      <c r="AB183" s="16" t="s">
        <v>3</v>
      </c>
    </row>
    <row r="184" spans="2:28" x14ac:dyDescent="0.25">
      <c r="B184" s="18" t="s">
        <v>3779</v>
      </c>
      <c r="C184" s="44" t="s">
        <v>3822</v>
      </c>
      <c r="D184" s="20" t="s">
        <v>3058</v>
      </c>
      <c r="E184" s="51" t="s">
        <v>3</v>
      </c>
      <c r="F184" s="11">
        <v>44076</v>
      </c>
      <c r="G184" s="5" t="s">
        <v>1104</v>
      </c>
      <c r="H184" s="2"/>
      <c r="I184" s="4">
        <v>6680000</v>
      </c>
      <c r="J184" s="4">
        <v>6680000</v>
      </c>
      <c r="K184" s="4">
        <v>6677662</v>
      </c>
      <c r="L184" s="4">
        <v>6679739</v>
      </c>
      <c r="M184" s="4">
        <v>0</v>
      </c>
      <c r="N184" s="4">
        <v>261</v>
      </c>
      <c r="O184" s="4">
        <v>0</v>
      </c>
      <c r="P184" s="24">
        <v>261</v>
      </c>
      <c r="Q184" s="4">
        <v>0</v>
      </c>
      <c r="R184" s="4">
        <v>6680000</v>
      </c>
      <c r="S184" s="4">
        <v>0</v>
      </c>
      <c r="T184" s="4">
        <v>0</v>
      </c>
      <c r="U184" s="24">
        <v>0</v>
      </c>
      <c r="V184" s="4">
        <v>223771</v>
      </c>
      <c r="W184" s="11">
        <v>44166</v>
      </c>
      <c r="X184" s="2"/>
      <c r="Y184" s="5" t="s">
        <v>1960</v>
      </c>
      <c r="Z184" s="5" t="s">
        <v>2284</v>
      </c>
      <c r="AA184" s="5" t="s">
        <v>3</v>
      </c>
      <c r="AB184" s="16" t="s">
        <v>3</v>
      </c>
    </row>
    <row r="185" spans="2:28" x14ac:dyDescent="0.25">
      <c r="B185" s="18" t="s">
        <v>503</v>
      </c>
      <c r="C185" s="44" t="s">
        <v>2415</v>
      </c>
      <c r="D185" s="20" t="s">
        <v>1273</v>
      </c>
      <c r="E185" s="51" t="s">
        <v>3</v>
      </c>
      <c r="F185" s="11">
        <v>43910</v>
      </c>
      <c r="G185" s="5" t="s">
        <v>2686</v>
      </c>
      <c r="H185" s="2"/>
      <c r="I185" s="4">
        <v>440854</v>
      </c>
      <c r="J185" s="4">
        <v>440854</v>
      </c>
      <c r="K185" s="4">
        <v>440803</v>
      </c>
      <c r="L185" s="4">
        <v>440829</v>
      </c>
      <c r="M185" s="4">
        <v>0</v>
      </c>
      <c r="N185" s="4">
        <v>25</v>
      </c>
      <c r="O185" s="4">
        <v>0</v>
      </c>
      <c r="P185" s="24">
        <v>25</v>
      </c>
      <c r="Q185" s="4">
        <v>0</v>
      </c>
      <c r="R185" s="4">
        <v>440854</v>
      </c>
      <c r="S185" s="4">
        <v>0</v>
      </c>
      <c r="T185" s="4">
        <v>0</v>
      </c>
      <c r="U185" s="24">
        <v>0</v>
      </c>
      <c r="V185" s="4">
        <v>2584</v>
      </c>
      <c r="W185" s="11">
        <v>48385</v>
      </c>
      <c r="X185" s="2"/>
      <c r="Y185" s="5" t="s">
        <v>3</v>
      </c>
      <c r="Z185" s="5" t="s">
        <v>4089</v>
      </c>
      <c r="AA185" s="5" t="s">
        <v>4089</v>
      </c>
      <c r="AB185" s="16" t="s">
        <v>3</v>
      </c>
    </row>
    <row r="186" spans="2:28" x14ac:dyDescent="0.25">
      <c r="B186" s="18" t="s">
        <v>1923</v>
      </c>
      <c r="C186" s="44" t="s">
        <v>2416</v>
      </c>
      <c r="D186" s="20" t="s">
        <v>4089</v>
      </c>
      <c r="E186" s="51" t="s">
        <v>3</v>
      </c>
      <c r="F186" s="11">
        <v>43910</v>
      </c>
      <c r="G186" s="5" t="s">
        <v>2686</v>
      </c>
      <c r="H186" s="2"/>
      <c r="I186" s="4">
        <v>551068</v>
      </c>
      <c r="J186" s="4">
        <v>551068</v>
      </c>
      <c r="K186" s="4">
        <v>550948</v>
      </c>
      <c r="L186" s="4">
        <v>551010</v>
      </c>
      <c r="M186" s="4">
        <v>0</v>
      </c>
      <c r="N186" s="4">
        <v>58</v>
      </c>
      <c r="O186" s="4">
        <v>0</v>
      </c>
      <c r="P186" s="24">
        <v>58</v>
      </c>
      <c r="Q186" s="4">
        <v>0</v>
      </c>
      <c r="R186" s="4">
        <v>551068</v>
      </c>
      <c r="S186" s="4">
        <v>0</v>
      </c>
      <c r="T186" s="4">
        <v>0</v>
      </c>
      <c r="U186" s="24">
        <v>0</v>
      </c>
      <c r="V186" s="4">
        <v>4014</v>
      </c>
      <c r="W186" s="11">
        <v>48385</v>
      </c>
      <c r="X186" s="2"/>
      <c r="Y186" s="5" t="s">
        <v>3</v>
      </c>
      <c r="Z186" s="5" t="s">
        <v>4089</v>
      </c>
      <c r="AA186" s="5" t="s">
        <v>3</v>
      </c>
      <c r="AB186" s="16" t="s">
        <v>3</v>
      </c>
    </row>
    <row r="187" spans="2:28" x14ac:dyDescent="0.25">
      <c r="B187" s="18" t="s">
        <v>3008</v>
      </c>
      <c r="C187" s="44" t="s">
        <v>872</v>
      </c>
      <c r="D187" s="20" t="s">
        <v>1273</v>
      </c>
      <c r="E187" s="51" t="s">
        <v>3</v>
      </c>
      <c r="F187" s="11">
        <v>44124</v>
      </c>
      <c r="G187" s="5" t="s">
        <v>2686</v>
      </c>
      <c r="H187" s="2"/>
      <c r="I187" s="4">
        <v>667080</v>
      </c>
      <c r="J187" s="4">
        <v>667080</v>
      </c>
      <c r="K187" s="4">
        <v>666951</v>
      </c>
      <c r="L187" s="4">
        <v>667001</v>
      </c>
      <c r="M187" s="4">
        <v>0</v>
      </c>
      <c r="N187" s="4">
        <v>79</v>
      </c>
      <c r="O187" s="4">
        <v>0</v>
      </c>
      <c r="P187" s="24">
        <v>79</v>
      </c>
      <c r="Q187" s="4">
        <v>0</v>
      </c>
      <c r="R187" s="4">
        <v>667080</v>
      </c>
      <c r="S187" s="4">
        <v>0</v>
      </c>
      <c r="T187" s="4">
        <v>0</v>
      </c>
      <c r="U187" s="24">
        <v>0</v>
      </c>
      <c r="V187" s="4">
        <v>12482</v>
      </c>
      <c r="W187" s="11">
        <v>48477</v>
      </c>
      <c r="X187" s="2"/>
      <c r="Y187" s="5" t="s">
        <v>3</v>
      </c>
      <c r="Z187" s="5" t="s">
        <v>4089</v>
      </c>
      <c r="AA187" s="5" t="s">
        <v>4089</v>
      </c>
      <c r="AB187" s="16" t="s">
        <v>3</v>
      </c>
    </row>
    <row r="188" spans="2:28" x14ac:dyDescent="0.25">
      <c r="B188" s="18" t="s">
        <v>4136</v>
      </c>
      <c r="C188" s="44" t="s">
        <v>873</v>
      </c>
      <c r="D188" s="20" t="s">
        <v>1273</v>
      </c>
      <c r="E188" s="51" t="s">
        <v>3</v>
      </c>
      <c r="F188" s="11">
        <v>44124</v>
      </c>
      <c r="G188" s="5" t="s">
        <v>2686</v>
      </c>
      <c r="H188" s="2"/>
      <c r="I188" s="4">
        <v>933912</v>
      </c>
      <c r="J188" s="4">
        <v>933912</v>
      </c>
      <c r="K188" s="4">
        <v>929574</v>
      </c>
      <c r="L188" s="4">
        <v>931536</v>
      </c>
      <c r="M188" s="4">
        <v>0</v>
      </c>
      <c r="N188" s="4">
        <v>2376</v>
      </c>
      <c r="O188" s="4">
        <v>0</v>
      </c>
      <c r="P188" s="24">
        <v>2376</v>
      </c>
      <c r="Q188" s="4">
        <v>0</v>
      </c>
      <c r="R188" s="4">
        <v>933912</v>
      </c>
      <c r="S188" s="4">
        <v>0</v>
      </c>
      <c r="T188" s="4">
        <v>0</v>
      </c>
      <c r="U188" s="24">
        <v>0</v>
      </c>
      <c r="V188" s="4">
        <v>20862</v>
      </c>
      <c r="W188" s="11">
        <v>48477</v>
      </c>
      <c r="X188" s="2"/>
      <c r="Y188" s="5" t="s">
        <v>3</v>
      </c>
      <c r="Z188" s="5" t="s">
        <v>4089</v>
      </c>
      <c r="AA188" s="5" t="s">
        <v>4089</v>
      </c>
      <c r="AB188" s="16" t="s">
        <v>3</v>
      </c>
    </row>
    <row r="189" spans="2:28" x14ac:dyDescent="0.25">
      <c r="B189" s="18" t="s">
        <v>1579</v>
      </c>
      <c r="C189" s="44" t="s">
        <v>1880</v>
      </c>
      <c r="D189" s="20" t="s">
        <v>3724</v>
      </c>
      <c r="E189" s="51" t="s">
        <v>3</v>
      </c>
      <c r="F189" s="11">
        <v>44185</v>
      </c>
      <c r="G189" s="5" t="s">
        <v>2686</v>
      </c>
      <c r="H189" s="2"/>
      <c r="I189" s="4">
        <v>1513464</v>
      </c>
      <c r="J189" s="4">
        <v>1513464</v>
      </c>
      <c r="K189" s="4">
        <v>1513176</v>
      </c>
      <c r="L189" s="4">
        <v>1513188</v>
      </c>
      <c r="M189" s="4">
        <v>0</v>
      </c>
      <c r="N189" s="4">
        <v>277</v>
      </c>
      <c r="O189" s="4">
        <v>0</v>
      </c>
      <c r="P189" s="24">
        <v>277</v>
      </c>
      <c r="Q189" s="4">
        <v>0</v>
      </c>
      <c r="R189" s="4">
        <v>1513464</v>
      </c>
      <c r="S189" s="4">
        <v>0</v>
      </c>
      <c r="T189" s="4">
        <v>0</v>
      </c>
      <c r="U189" s="24">
        <v>0</v>
      </c>
      <c r="V189" s="4">
        <v>20354</v>
      </c>
      <c r="W189" s="11">
        <v>49815</v>
      </c>
      <c r="X189" s="2"/>
      <c r="Y189" s="5" t="s">
        <v>3</v>
      </c>
      <c r="Z189" s="5" t="s">
        <v>4089</v>
      </c>
      <c r="AA189" s="5" t="s">
        <v>928</v>
      </c>
      <c r="AB189" s="16" t="s">
        <v>3</v>
      </c>
    </row>
    <row r="190" spans="2:28" x14ac:dyDescent="0.25">
      <c r="B190" s="18" t="s">
        <v>2664</v>
      </c>
      <c r="C190" s="44" t="s">
        <v>1881</v>
      </c>
      <c r="D190" s="20" t="s">
        <v>3724</v>
      </c>
      <c r="E190" s="51" t="s">
        <v>3</v>
      </c>
      <c r="F190" s="11">
        <v>44185</v>
      </c>
      <c r="G190" s="5" t="s">
        <v>2686</v>
      </c>
      <c r="H190" s="2"/>
      <c r="I190" s="4">
        <v>1210771</v>
      </c>
      <c r="J190" s="4">
        <v>1210771</v>
      </c>
      <c r="K190" s="4">
        <v>1210677</v>
      </c>
      <c r="L190" s="4">
        <v>1210677</v>
      </c>
      <c r="M190" s="4">
        <v>0</v>
      </c>
      <c r="N190" s="4">
        <v>95</v>
      </c>
      <c r="O190" s="4">
        <v>0</v>
      </c>
      <c r="P190" s="24">
        <v>95</v>
      </c>
      <c r="Q190" s="4">
        <v>0</v>
      </c>
      <c r="R190" s="4">
        <v>1210771</v>
      </c>
      <c r="S190" s="4">
        <v>0</v>
      </c>
      <c r="T190" s="4">
        <v>0</v>
      </c>
      <c r="U190" s="24">
        <v>0</v>
      </c>
      <c r="V190" s="4">
        <v>18015</v>
      </c>
      <c r="W190" s="11">
        <v>49815</v>
      </c>
      <c r="X190" s="2"/>
      <c r="Y190" s="5" t="s">
        <v>3</v>
      </c>
      <c r="Z190" s="5" t="s">
        <v>4089</v>
      </c>
      <c r="AA190" s="5" t="s">
        <v>928</v>
      </c>
      <c r="AB190" s="16" t="s">
        <v>3</v>
      </c>
    </row>
    <row r="191" spans="2:28" x14ac:dyDescent="0.25">
      <c r="B191" s="18" t="s">
        <v>3780</v>
      </c>
      <c r="C191" s="44" t="s">
        <v>788</v>
      </c>
      <c r="D191" s="20" t="s">
        <v>3724</v>
      </c>
      <c r="E191" s="51" t="s">
        <v>3</v>
      </c>
      <c r="F191" s="11">
        <v>44185</v>
      </c>
      <c r="G191" s="5" t="s">
        <v>2686</v>
      </c>
      <c r="H191" s="2"/>
      <c r="I191" s="4">
        <v>371114</v>
      </c>
      <c r="J191" s="4">
        <v>371114</v>
      </c>
      <c r="K191" s="4">
        <v>371038</v>
      </c>
      <c r="L191" s="4">
        <v>371064</v>
      </c>
      <c r="M191" s="4">
        <v>0</v>
      </c>
      <c r="N191" s="4">
        <v>50</v>
      </c>
      <c r="O191" s="4">
        <v>0</v>
      </c>
      <c r="P191" s="24">
        <v>50</v>
      </c>
      <c r="Q191" s="4">
        <v>0</v>
      </c>
      <c r="R191" s="4">
        <v>371114</v>
      </c>
      <c r="S191" s="4">
        <v>0</v>
      </c>
      <c r="T191" s="4">
        <v>0</v>
      </c>
      <c r="U191" s="24">
        <v>0</v>
      </c>
      <c r="V191" s="4">
        <v>4253</v>
      </c>
      <c r="W191" s="11">
        <v>48780</v>
      </c>
      <c r="X191" s="2"/>
      <c r="Y191" s="5" t="s">
        <v>3</v>
      </c>
      <c r="Z191" s="5" t="s">
        <v>4089</v>
      </c>
      <c r="AA191" s="5" t="s">
        <v>928</v>
      </c>
      <c r="AB191" s="16" t="s">
        <v>3</v>
      </c>
    </row>
    <row r="192" spans="2:28" x14ac:dyDescent="0.25">
      <c r="B192" s="18" t="s">
        <v>504</v>
      </c>
      <c r="C192" s="44" t="s">
        <v>789</v>
      </c>
      <c r="D192" s="20" t="s">
        <v>1273</v>
      </c>
      <c r="E192" s="51" t="s">
        <v>3</v>
      </c>
      <c r="F192" s="11">
        <v>44185</v>
      </c>
      <c r="G192" s="5" t="s">
        <v>2686</v>
      </c>
      <c r="H192" s="2"/>
      <c r="I192" s="4">
        <v>233517</v>
      </c>
      <c r="J192" s="4">
        <v>233517</v>
      </c>
      <c r="K192" s="4">
        <v>233503</v>
      </c>
      <c r="L192" s="4">
        <v>233505</v>
      </c>
      <c r="M192" s="4">
        <v>0</v>
      </c>
      <c r="N192" s="4">
        <v>12</v>
      </c>
      <c r="O192" s="4">
        <v>0</v>
      </c>
      <c r="P192" s="24">
        <v>12</v>
      </c>
      <c r="Q192" s="4">
        <v>0</v>
      </c>
      <c r="R192" s="4">
        <v>233517</v>
      </c>
      <c r="S192" s="4">
        <v>0</v>
      </c>
      <c r="T192" s="4">
        <v>0</v>
      </c>
      <c r="U192" s="24">
        <v>0</v>
      </c>
      <c r="V192" s="4">
        <v>3193</v>
      </c>
      <c r="W192" s="11">
        <v>48780</v>
      </c>
      <c r="X192" s="2"/>
      <c r="Y192" s="5" t="s">
        <v>3</v>
      </c>
      <c r="Z192" s="5" t="s">
        <v>4089</v>
      </c>
      <c r="AA192" s="5" t="s">
        <v>4089</v>
      </c>
      <c r="AB192" s="16" t="s">
        <v>3</v>
      </c>
    </row>
    <row r="193" spans="2:28" x14ac:dyDescent="0.25">
      <c r="B193" s="18" t="s">
        <v>1580</v>
      </c>
      <c r="C193" s="44" t="s">
        <v>2203</v>
      </c>
      <c r="D193" s="20" t="s">
        <v>1273</v>
      </c>
      <c r="E193" s="51" t="s">
        <v>3</v>
      </c>
      <c r="F193" s="11">
        <v>44124</v>
      </c>
      <c r="G193" s="5" t="s">
        <v>2686</v>
      </c>
      <c r="H193" s="2"/>
      <c r="I193" s="4">
        <v>562576</v>
      </c>
      <c r="J193" s="4">
        <v>562576</v>
      </c>
      <c r="K193" s="4">
        <v>562677</v>
      </c>
      <c r="L193" s="4">
        <v>562681</v>
      </c>
      <c r="M193" s="4">
        <v>0</v>
      </c>
      <c r="N193" s="4">
        <v>-105</v>
      </c>
      <c r="O193" s="4">
        <v>0</v>
      </c>
      <c r="P193" s="24">
        <v>-105</v>
      </c>
      <c r="Q193" s="4">
        <v>0</v>
      </c>
      <c r="R193" s="4">
        <v>562576</v>
      </c>
      <c r="S193" s="4">
        <v>0</v>
      </c>
      <c r="T193" s="4">
        <v>0</v>
      </c>
      <c r="U193" s="24">
        <v>0</v>
      </c>
      <c r="V193" s="4">
        <v>14671</v>
      </c>
      <c r="W193" s="11">
        <v>48659</v>
      </c>
      <c r="X193" s="2"/>
      <c r="Y193" s="5" t="s">
        <v>3</v>
      </c>
      <c r="Z193" s="5" t="s">
        <v>4089</v>
      </c>
      <c r="AA193" s="5" t="s">
        <v>4089</v>
      </c>
      <c r="AB193" s="16" t="s">
        <v>3</v>
      </c>
    </row>
    <row r="194" spans="2:28" x14ac:dyDescent="0.25">
      <c r="B194" s="18" t="s">
        <v>3009</v>
      </c>
      <c r="C194" s="44" t="s">
        <v>3458</v>
      </c>
      <c r="D194" s="20" t="s">
        <v>1273</v>
      </c>
      <c r="E194" s="51" t="s">
        <v>3</v>
      </c>
      <c r="F194" s="11">
        <v>44185</v>
      </c>
      <c r="G194" s="5" t="s">
        <v>2686</v>
      </c>
      <c r="H194" s="2"/>
      <c r="I194" s="4">
        <v>544524</v>
      </c>
      <c r="J194" s="4">
        <v>544524</v>
      </c>
      <c r="K194" s="4">
        <v>544427</v>
      </c>
      <c r="L194" s="4">
        <v>544457</v>
      </c>
      <c r="M194" s="4">
        <v>0</v>
      </c>
      <c r="N194" s="4">
        <v>68</v>
      </c>
      <c r="O194" s="4">
        <v>0</v>
      </c>
      <c r="P194" s="24">
        <v>68</v>
      </c>
      <c r="Q194" s="4">
        <v>0</v>
      </c>
      <c r="R194" s="4">
        <v>544524</v>
      </c>
      <c r="S194" s="4">
        <v>0</v>
      </c>
      <c r="T194" s="4">
        <v>0</v>
      </c>
      <c r="U194" s="24">
        <v>0</v>
      </c>
      <c r="V194" s="4">
        <v>6683</v>
      </c>
      <c r="W194" s="11">
        <v>48872</v>
      </c>
      <c r="X194" s="2"/>
      <c r="Y194" s="5" t="s">
        <v>3</v>
      </c>
      <c r="Z194" s="5" t="s">
        <v>4089</v>
      </c>
      <c r="AA194" s="5" t="s">
        <v>4089</v>
      </c>
      <c r="AB194" s="16" t="s">
        <v>3</v>
      </c>
    </row>
    <row r="195" spans="2:28" x14ac:dyDescent="0.25">
      <c r="B195" s="18" t="s">
        <v>4137</v>
      </c>
      <c r="C195" s="44" t="s">
        <v>1519</v>
      </c>
      <c r="D195" s="20" t="s">
        <v>1273</v>
      </c>
      <c r="E195" s="51" t="s">
        <v>3</v>
      </c>
      <c r="F195" s="11">
        <v>44185</v>
      </c>
      <c r="G195" s="5" t="s">
        <v>2686</v>
      </c>
      <c r="H195" s="2"/>
      <c r="I195" s="4">
        <v>799647</v>
      </c>
      <c r="J195" s="4">
        <v>799647</v>
      </c>
      <c r="K195" s="4">
        <v>799496</v>
      </c>
      <c r="L195" s="4">
        <v>799517</v>
      </c>
      <c r="M195" s="4">
        <v>0</v>
      </c>
      <c r="N195" s="4">
        <v>130</v>
      </c>
      <c r="O195" s="4">
        <v>0</v>
      </c>
      <c r="P195" s="24">
        <v>130</v>
      </c>
      <c r="Q195" s="4">
        <v>0</v>
      </c>
      <c r="R195" s="4">
        <v>799647</v>
      </c>
      <c r="S195" s="4">
        <v>0</v>
      </c>
      <c r="T195" s="4">
        <v>0</v>
      </c>
      <c r="U195" s="24">
        <v>0</v>
      </c>
      <c r="V195" s="4">
        <v>13903</v>
      </c>
      <c r="W195" s="11">
        <v>49480</v>
      </c>
      <c r="X195" s="2"/>
      <c r="Y195" s="5" t="s">
        <v>3</v>
      </c>
      <c r="Z195" s="5" t="s">
        <v>4089</v>
      </c>
      <c r="AA195" s="5" t="s">
        <v>4089</v>
      </c>
      <c r="AB195" s="16" t="s">
        <v>3</v>
      </c>
    </row>
    <row r="196" spans="2:28" x14ac:dyDescent="0.25">
      <c r="B196" s="18" t="s">
        <v>825</v>
      </c>
      <c r="C196" s="44" t="s">
        <v>1274</v>
      </c>
      <c r="D196" s="20" t="s">
        <v>3724</v>
      </c>
      <c r="E196" s="51" t="s">
        <v>3</v>
      </c>
      <c r="F196" s="11">
        <v>44185</v>
      </c>
      <c r="G196" s="5" t="s">
        <v>2686</v>
      </c>
      <c r="H196" s="2"/>
      <c r="I196" s="4">
        <v>479788</v>
      </c>
      <c r="J196" s="4">
        <v>479788</v>
      </c>
      <c r="K196" s="4">
        <v>479730</v>
      </c>
      <c r="L196" s="4">
        <v>479736</v>
      </c>
      <c r="M196" s="4">
        <v>0</v>
      </c>
      <c r="N196" s="4">
        <v>52</v>
      </c>
      <c r="O196" s="4">
        <v>0</v>
      </c>
      <c r="P196" s="24">
        <v>52</v>
      </c>
      <c r="Q196" s="4">
        <v>0</v>
      </c>
      <c r="R196" s="4">
        <v>479788</v>
      </c>
      <c r="S196" s="4">
        <v>0</v>
      </c>
      <c r="T196" s="4">
        <v>0</v>
      </c>
      <c r="U196" s="24">
        <v>0</v>
      </c>
      <c r="V196" s="4">
        <v>8700</v>
      </c>
      <c r="W196" s="11">
        <v>49480</v>
      </c>
      <c r="X196" s="2"/>
      <c r="Y196" s="5" t="s">
        <v>3</v>
      </c>
      <c r="Z196" s="5" t="s">
        <v>4089</v>
      </c>
      <c r="AA196" s="5" t="s">
        <v>928</v>
      </c>
      <c r="AB196" s="16" t="s">
        <v>3</v>
      </c>
    </row>
    <row r="197" spans="2:28" x14ac:dyDescent="0.25">
      <c r="B197" s="18" t="s">
        <v>1925</v>
      </c>
      <c r="C197" s="44" t="s">
        <v>2612</v>
      </c>
      <c r="D197" s="20" t="s">
        <v>3724</v>
      </c>
      <c r="E197" s="51" t="s">
        <v>3</v>
      </c>
      <c r="F197" s="11">
        <v>44185</v>
      </c>
      <c r="G197" s="5" t="s">
        <v>2686</v>
      </c>
      <c r="H197" s="2"/>
      <c r="I197" s="4">
        <v>1399163</v>
      </c>
      <c r="J197" s="4">
        <v>1399163</v>
      </c>
      <c r="K197" s="4">
        <v>1398857</v>
      </c>
      <c r="L197" s="4">
        <v>1398883</v>
      </c>
      <c r="M197" s="4">
        <v>0</v>
      </c>
      <c r="N197" s="4">
        <v>280</v>
      </c>
      <c r="O197" s="4">
        <v>0</v>
      </c>
      <c r="P197" s="24">
        <v>280</v>
      </c>
      <c r="Q197" s="4">
        <v>0</v>
      </c>
      <c r="R197" s="4">
        <v>1399163</v>
      </c>
      <c r="S197" s="4">
        <v>0</v>
      </c>
      <c r="T197" s="4">
        <v>0</v>
      </c>
      <c r="U197" s="24">
        <v>0</v>
      </c>
      <c r="V197" s="4">
        <v>23624</v>
      </c>
      <c r="W197" s="11">
        <v>49694</v>
      </c>
      <c r="X197" s="2"/>
      <c r="Y197" s="5" t="s">
        <v>3</v>
      </c>
      <c r="Z197" s="5" t="s">
        <v>4089</v>
      </c>
      <c r="AA197" s="5" t="s">
        <v>928</v>
      </c>
      <c r="AB197" s="16" t="s">
        <v>3</v>
      </c>
    </row>
    <row r="198" spans="2:28" x14ac:dyDescent="0.25">
      <c r="B198" s="18" t="s">
        <v>3010</v>
      </c>
      <c r="C198" s="44" t="s">
        <v>2613</v>
      </c>
      <c r="D198" s="20" t="s">
        <v>3724</v>
      </c>
      <c r="E198" s="51" t="s">
        <v>3</v>
      </c>
      <c r="F198" s="11">
        <v>44185</v>
      </c>
      <c r="G198" s="5" t="s">
        <v>2686</v>
      </c>
      <c r="H198" s="2"/>
      <c r="I198" s="4">
        <v>699582</v>
      </c>
      <c r="J198" s="4">
        <v>699582</v>
      </c>
      <c r="K198" s="4">
        <v>699536</v>
      </c>
      <c r="L198" s="4">
        <v>699537</v>
      </c>
      <c r="M198" s="4">
        <v>0</v>
      </c>
      <c r="N198" s="4">
        <v>45</v>
      </c>
      <c r="O198" s="4">
        <v>0</v>
      </c>
      <c r="P198" s="24">
        <v>45</v>
      </c>
      <c r="Q198" s="4">
        <v>0</v>
      </c>
      <c r="R198" s="4">
        <v>699582</v>
      </c>
      <c r="S198" s="4">
        <v>0</v>
      </c>
      <c r="T198" s="4">
        <v>0</v>
      </c>
      <c r="U198" s="24">
        <v>0</v>
      </c>
      <c r="V198" s="4">
        <v>13021</v>
      </c>
      <c r="W198" s="11">
        <v>49694</v>
      </c>
      <c r="X198" s="2"/>
      <c r="Y198" s="5" t="s">
        <v>3</v>
      </c>
      <c r="Z198" s="5" t="s">
        <v>4089</v>
      </c>
      <c r="AA198" s="5" t="s">
        <v>928</v>
      </c>
      <c r="AB198" s="16" t="s">
        <v>3</v>
      </c>
    </row>
    <row r="199" spans="2:28" x14ac:dyDescent="0.25">
      <c r="B199" s="18" t="s">
        <v>505</v>
      </c>
      <c r="C199" s="44" t="s">
        <v>4369</v>
      </c>
      <c r="D199" s="20" t="s">
        <v>3724</v>
      </c>
      <c r="E199" s="51" t="s">
        <v>3</v>
      </c>
      <c r="F199" s="11">
        <v>44185</v>
      </c>
      <c r="G199" s="5" t="s">
        <v>2686</v>
      </c>
      <c r="H199" s="2"/>
      <c r="I199" s="4">
        <v>1072026</v>
      </c>
      <c r="J199" s="4">
        <v>1072026</v>
      </c>
      <c r="K199" s="4">
        <v>1071757</v>
      </c>
      <c r="L199" s="4">
        <v>1071790</v>
      </c>
      <c r="M199" s="4">
        <v>0</v>
      </c>
      <c r="N199" s="4">
        <v>235</v>
      </c>
      <c r="O199" s="4">
        <v>0</v>
      </c>
      <c r="P199" s="24">
        <v>235</v>
      </c>
      <c r="Q199" s="4">
        <v>0</v>
      </c>
      <c r="R199" s="4">
        <v>1072026</v>
      </c>
      <c r="S199" s="4">
        <v>0</v>
      </c>
      <c r="T199" s="4">
        <v>0</v>
      </c>
      <c r="U199" s="24">
        <v>0</v>
      </c>
      <c r="V199" s="4">
        <v>19280</v>
      </c>
      <c r="W199" s="11">
        <v>49572</v>
      </c>
      <c r="X199" s="2"/>
      <c r="Y199" s="5" t="s">
        <v>3</v>
      </c>
      <c r="Z199" s="5" t="s">
        <v>4089</v>
      </c>
      <c r="AA199" s="5" t="s">
        <v>928</v>
      </c>
      <c r="AB199" s="16" t="s">
        <v>3</v>
      </c>
    </row>
    <row r="200" spans="2:28" x14ac:dyDescent="0.25">
      <c r="B200" s="18" t="s">
        <v>1581</v>
      </c>
      <c r="C200" s="44" t="s">
        <v>2348</v>
      </c>
      <c r="D200" s="20" t="s">
        <v>3724</v>
      </c>
      <c r="E200" s="51" t="s">
        <v>3</v>
      </c>
      <c r="F200" s="11">
        <v>44185</v>
      </c>
      <c r="G200" s="5" t="s">
        <v>2686</v>
      </c>
      <c r="H200" s="2"/>
      <c r="I200" s="4">
        <v>714684</v>
      </c>
      <c r="J200" s="4">
        <v>714684</v>
      </c>
      <c r="K200" s="4">
        <v>714565</v>
      </c>
      <c r="L200" s="4">
        <v>714577</v>
      </c>
      <c r="M200" s="4">
        <v>0</v>
      </c>
      <c r="N200" s="4">
        <v>106</v>
      </c>
      <c r="O200" s="4">
        <v>0</v>
      </c>
      <c r="P200" s="24">
        <v>106</v>
      </c>
      <c r="Q200" s="4">
        <v>0</v>
      </c>
      <c r="R200" s="4">
        <v>714684</v>
      </c>
      <c r="S200" s="4">
        <v>0</v>
      </c>
      <c r="T200" s="4">
        <v>0</v>
      </c>
      <c r="U200" s="24">
        <v>0</v>
      </c>
      <c r="V200" s="4">
        <v>13480</v>
      </c>
      <c r="W200" s="11">
        <v>49572</v>
      </c>
      <c r="X200" s="2"/>
      <c r="Y200" s="5" t="s">
        <v>3</v>
      </c>
      <c r="Z200" s="5" t="s">
        <v>4089</v>
      </c>
      <c r="AA200" s="5" t="s">
        <v>928</v>
      </c>
      <c r="AB200" s="16" t="s">
        <v>3</v>
      </c>
    </row>
    <row r="201" spans="2:28" x14ac:dyDescent="0.25">
      <c r="B201" s="18" t="s">
        <v>2665</v>
      </c>
      <c r="C201" s="44" t="s">
        <v>2349</v>
      </c>
      <c r="D201" s="20" t="s">
        <v>3724</v>
      </c>
      <c r="E201" s="51" t="s">
        <v>3</v>
      </c>
      <c r="F201" s="11">
        <v>44185</v>
      </c>
      <c r="G201" s="5" t="s">
        <v>2686</v>
      </c>
      <c r="H201" s="2"/>
      <c r="I201" s="4">
        <v>714684</v>
      </c>
      <c r="J201" s="4">
        <v>714684</v>
      </c>
      <c r="K201" s="4">
        <v>714671</v>
      </c>
      <c r="L201" s="4">
        <v>714666</v>
      </c>
      <c r="M201" s="4">
        <v>0</v>
      </c>
      <c r="N201" s="4">
        <v>18</v>
      </c>
      <c r="O201" s="4">
        <v>0</v>
      </c>
      <c r="P201" s="24">
        <v>18</v>
      </c>
      <c r="Q201" s="4">
        <v>0</v>
      </c>
      <c r="R201" s="4">
        <v>714684</v>
      </c>
      <c r="S201" s="4">
        <v>0</v>
      </c>
      <c r="T201" s="4">
        <v>0</v>
      </c>
      <c r="U201" s="24">
        <v>0</v>
      </c>
      <c r="V201" s="4">
        <v>14525</v>
      </c>
      <c r="W201" s="11">
        <v>49572</v>
      </c>
      <c r="X201" s="2"/>
      <c r="Y201" s="5" t="s">
        <v>3</v>
      </c>
      <c r="Z201" s="5" t="s">
        <v>4089</v>
      </c>
      <c r="AA201" s="5" t="s">
        <v>928</v>
      </c>
      <c r="AB201" s="16" t="s">
        <v>3</v>
      </c>
    </row>
    <row r="202" spans="2:28" x14ac:dyDescent="0.25">
      <c r="B202" s="18" t="s">
        <v>3781</v>
      </c>
      <c r="C202" s="44" t="s">
        <v>2417</v>
      </c>
      <c r="D202" s="20" t="s">
        <v>232</v>
      </c>
      <c r="E202" s="51" t="s">
        <v>3</v>
      </c>
      <c r="F202" s="11">
        <v>44057</v>
      </c>
      <c r="G202" s="5" t="s">
        <v>3823</v>
      </c>
      <c r="H202" s="2"/>
      <c r="I202" s="4">
        <v>4458364</v>
      </c>
      <c r="J202" s="4">
        <v>4000000</v>
      </c>
      <c r="K202" s="4">
        <v>4350920</v>
      </c>
      <c r="L202" s="4">
        <v>4204982</v>
      </c>
      <c r="M202" s="4">
        <v>0</v>
      </c>
      <c r="N202" s="4">
        <v>-204985</v>
      </c>
      <c r="O202" s="4">
        <v>0</v>
      </c>
      <c r="P202" s="24">
        <v>-204985</v>
      </c>
      <c r="Q202" s="4">
        <v>0</v>
      </c>
      <c r="R202" s="4">
        <v>4458364</v>
      </c>
      <c r="S202" s="4">
        <v>0</v>
      </c>
      <c r="T202" s="4">
        <v>0</v>
      </c>
      <c r="U202" s="24">
        <v>0</v>
      </c>
      <c r="V202" s="4">
        <v>609097.43999999994</v>
      </c>
      <c r="W202" s="11">
        <v>45355</v>
      </c>
      <c r="X202" s="2"/>
      <c r="Y202" s="5" t="s">
        <v>3</v>
      </c>
      <c r="Z202" s="5" t="s">
        <v>4430</v>
      </c>
      <c r="AA202" s="5" t="s">
        <v>3</v>
      </c>
      <c r="AB202" s="16" t="s">
        <v>3</v>
      </c>
    </row>
    <row r="203" spans="2:28" x14ac:dyDescent="0.25">
      <c r="B203" s="18" t="s">
        <v>826</v>
      </c>
      <c r="C203" s="44" t="s">
        <v>4180</v>
      </c>
      <c r="D203" s="20" t="s">
        <v>4181</v>
      </c>
      <c r="E203" s="51" t="s">
        <v>3</v>
      </c>
      <c r="F203" s="11">
        <v>43850</v>
      </c>
      <c r="G203" s="5" t="s">
        <v>2686</v>
      </c>
      <c r="H203" s="2"/>
      <c r="I203" s="4">
        <v>927633</v>
      </c>
      <c r="J203" s="4">
        <v>927633</v>
      </c>
      <c r="K203" s="4">
        <v>927633</v>
      </c>
      <c r="L203" s="4">
        <v>927633</v>
      </c>
      <c r="M203" s="4">
        <v>0</v>
      </c>
      <c r="N203" s="4">
        <v>0</v>
      </c>
      <c r="O203" s="4">
        <v>0</v>
      </c>
      <c r="P203" s="24">
        <v>0</v>
      </c>
      <c r="Q203" s="4">
        <v>0</v>
      </c>
      <c r="R203" s="4">
        <v>927633</v>
      </c>
      <c r="S203" s="4">
        <v>0</v>
      </c>
      <c r="T203" s="4">
        <v>0</v>
      </c>
      <c r="U203" s="24">
        <v>0</v>
      </c>
      <c r="V203" s="4">
        <v>11058</v>
      </c>
      <c r="W203" s="11">
        <v>53467</v>
      </c>
      <c r="X203" s="2"/>
      <c r="Y203" s="5" t="s">
        <v>3</v>
      </c>
      <c r="Z203" s="5" t="s">
        <v>4181</v>
      </c>
      <c r="AA203" s="5" t="s">
        <v>3</v>
      </c>
      <c r="AB203" s="16" t="s">
        <v>3</v>
      </c>
    </row>
    <row r="204" spans="2:28" x14ac:dyDescent="0.25">
      <c r="B204" s="18" t="s">
        <v>1927</v>
      </c>
      <c r="C204" s="44" t="s">
        <v>1276</v>
      </c>
      <c r="D204" s="20" t="s">
        <v>4370</v>
      </c>
      <c r="E204" s="51" t="s">
        <v>3</v>
      </c>
      <c r="F204" s="11">
        <v>44058</v>
      </c>
      <c r="G204" s="5" t="s">
        <v>2194</v>
      </c>
      <c r="H204" s="2"/>
      <c r="I204" s="4">
        <v>227384</v>
      </c>
      <c r="J204" s="4">
        <v>227384</v>
      </c>
      <c r="K204" s="4">
        <v>227384</v>
      </c>
      <c r="L204" s="4">
        <v>227384</v>
      </c>
      <c r="M204" s="4">
        <v>0</v>
      </c>
      <c r="N204" s="4">
        <v>0</v>
      </c>
      <c r="O204" s="4">
        <v>0</v>
      </c>
      <c r="P204" s="24">
        <v>0</v>
      </c>
      <c r="Q204" s="4">
        <v>0</v>
      </c>
      <c r="R204" s="4">
        <v>227384</v>
      </c>
      <c r="S204" s="4">
        <v>0</v>
      </c>
      <c r="T204" s="4">
        <v>0</v>
      </c>
      <c r="U204" s="24">
        <v>0</v>
      </c>
      <c r="V204" s="4">
        <v>5756</v>
      </c>
      <c r="W204" s="11">
        <v>47529</v>
      </c>
      <c r="X204" s="2"/>
      <c r="Y204" s="5" t="s">
        <v>3</v>
      </c>
      <c r="Z204" s="5" t="s">
        <v>4094</v>
      </c>
      <c r="AA204" s="5" t="s">
        <v>4094</v>
      </c>
      <c r="AB204" s="16" t="s">
        <v>3</v>
      </c>
    </row>
    <row r="205" spans="2:28" x14ac:dyDescent="0.25">
      <c r="B205" s="18" t="s">
        <v>3011</v>
      </c>
      <c r="C205" s="44" t="s">
        <v>3516</v>
      </c>
      <c r="D205" s="20" t="s">
        <v>3982</v>
      </c>
      <c r="E205" s="51" t="s">
        <v>3</v>
      </c>
      <c r="F205" s="11">
        <v>44167</v>
      </c>
      <c r="G205" s="5" t="s">
        <v>1614</v>
      </c>
      <c r="H205" s="2"/>
      <c r="I205" s="4">
        <v>3605748</v>
      </c>
      <c r="J205" s="4">
        <v>3500000</v>
      </c>
      <c r="K205" s="4">
        <v>3583300</v>
      </c>
      <c r="L205" s="4">
        <v>3521164</v>
      </c>
      <c r="M205" s="4">
        <v>0</v>
      </c>
      <c r="N205" s="4">
        <v>-21164.28</v>
      </c>
      <c r="O205" s="4">
        <v>0</v>
      </c>
      <c r="P205" s="24">
        <v>-21164.28</v>
      </c>
      <c r="Q205" s="4">
        <v>0</v>
      </c>
      <c r="R205" s="4">
        <v>3605748</v>
      </c>
      <c r="S205" s="4">
        <v>0</v>
      </c>
      <c r="T205" s="4">
        <v>0</v>
      </c>
      <c r="U205" s="24">
        <v>0</v>
      </c>
      <c r="V205" s="4">
        <v>225079.28</v>
      </c>
      <c r="W205" s="11">
        <v>44531</v>
      </c>
      <c r="X205" s="2"/>
      <c r="Y205" s="5" t="s">
        <v>102</v>
      </c>
      <c r="Z205" s="5" t="s">
        <v>3982</v>
      </c>
      <c r="AA205" s="5" t="s">
        <v>3</v>
      </c>
      <c r="AB205" s="16" t="s">
        <v>3</v>
      </c>
    </row>
    <row r="206" spans="2:28" x14ac:dyDescent="0.25">
      <c r="B206" s="18" t="s">
        <v>4138</v>
      </c>
      <c r="C206" s="44" t="s">
        <v>3517</v>
      </c>
      <c r="D206" s="20" t="s">
        <v>2090</v>
      </c>
      <c r="E206" s="51" t="s">
        <v>3</v>
      </c>
      <c r="F206" s="11">
        <v>44061</v>
      </c>
      <c r="G206" s="5" t="s">
        <v>848</v>
      </c>
      <c r="H206" s="2"/>
      <c r="I206" s="4">
        <v>5000000</v>
      </c>
      <c r="J206" s="4">
        <v>5000000</v>
      </c>
      <c r="K206" s="4">
        <v>4988600</v>
      </c>
      <c r="L206" s="4">
        <v>4998481</v>
      </c>
      <c r="M206" s="4">
        <v>0</v>
      </c>
      <c r="N206" s="4">
        <v>1519</v>
      </c>
      <c r="O206" s="4">
        <v>0</v>
      </c>
      <c r="P206" s="24">
        <v>1519</v>
      </c>
      <c r="Q206" s="4">
        <v>0</v>
      </c>
      <c r="R206" s="4">
        <v>5000000</v>
      </c>
      <c r="S206" s="4">
        <v>0</v>
      </c>
      <c r="T206" s="4">
        <v>0</v>
      </c>
      <c r="U206" s="24">
        <v>0</v>
      </c>
      <c r="V206" s="4">
        <v>127500</v>
      </c>
      <c r="W206" s="11">
        <v>44061</v>
      </c>
      <c r="X206" s="2"/>
      <c r="Y206" s="5" t="s">
        <v>3984</v>
      </c>
      <c r="Z206" s="5" t="s">
        <v>2090</v>
      </c>
      <c r="AA206" s="5" t="s">
        <v>3</v>
      </c>
      <c r="AB206" s="16" t="s">
        <v>3</v>
      </c>
    </row>
    <row r="207" spans="2:28" x14ac:dyDescent="0.25">
      <c r="B207" s="18" t="s">
        <v>827</v>
      </c>
      <c r="C207" s="44" t="s">
        <v>1961</v>
      </c>
      <c r="D207" s="20" t="s">
        <v>2418</v>
      </c>
      <c r="E207" s="51" t="s">
        <v>3</v>
      </c>
      <c r="F207" s="11">
        <v>44075</v>
      </c>
      <c r="G207" s="5" t="s">
        <v>526</v>
      </c>
      <c r="H207" s="2"/>
      <c r="I207" s="4">
        <v>2900000</v>
      </c>
      <c r="J207" s="4">
        <v>2900000</v>
      </c>
      <c r="K207" s="4">
        <v>2894461</v>
      </c>
      <c r="L207" s="4">
        <v>2899125</v>
      </c>
      <c r="M207" s="4">
        <v>0</v>
      </c>
      <c r="N207" s="4">
        <v>875</v>
      </c>
      <c r="O207" s="4">
        <v>0</v>
      </c>
      <c r="P207" s="24">
        <v>875</v>
      </c>
      <c r="Q207" s="4">
        <v>0</v>
      </c>
      <c r="R207" s="4">
        <v>2900000</v>
      </c>
      <c r="S207" s="4">
        <v>0</v>
      </c>
      <c r="T207" s="4">
        <v>0</v>
      </c>
      <c r="U207" s="24">
        <v>0</v>
      </c>
      <c r="V207" s="4">
        <v>69117</v>
      </c>
      <c r="W207" s="11">
        <v>44105</v>
      </c>
      <c r="X207" s="2"/>
      <c r="Y207" s="5" t="s">
        <v>2092</v>
      </c>
      <c r="Z207" s="5" t="s">
        <v>2876</v>
      </c>
      <c r="AA207" s="5" t="s">
        <v>3</v>
      </c>
      <c r="AB207" s="16" t="s">
        <v>3</v>
      </c>
    </row>
    <row r="208" spans="2:28" x14ac:dyDescent="0.25">
      <c r="B208" s="18" t="s">
        <v>1928</v>
      </c>
      <c r="C208" s="44" t="s">
        <v>1081</v>
      </c>
      <c r="D208" s="20" t="s">
        <v>3239</v>
      </c>
      <c r="E208" s="51" t="s">
        <v>3</v>
      </c>
      <c r="F208" s="11">
        <v>44160</v>
      </c>
      <c r="G208" s="5" t="s">
        <v>2686</v>
      </c>
      <c r="H208" s="2"/>
      <c r="I208" s="4">
        <v>50000</v>
      </c>
      <c r="J208" s="4">
        <v>50000</v>
      </c>
      <c r="K208" s="4">
        <v>50000</v>
      </c>
      <c r="L208" s="4">
        <v>50000</v>
      </c>
      <c r="M208" s="4">
        <v>0</v>
      </c>
      <c r="N208" s="4">
        <v>0</v>
      </c>
      <c r="O208" s="4">
        <v>0</v>
      </c>
      <c r="P208" s="24">
        <v>0</v>
      </c>
      <c r="Q208" s="4">
        <v>0</v>
      </c>
      <c r="R208" s="4">
        <v>50000</v>
      </c>
      <c r="S208" s="4">
        <v>0</v>
      </c>
      <c r="T208" s="4">
        <v>0</v>
      </c>
      <c r="U208" s="24">
        <v>0</v>
      </c>
      <c r="V208" s="4">
        <v>1349</v>
      </c>
      <c r="W208" s="11">
        <v>54387</v>
      </c>
      <c r="X208" s="2"/>
      <c r="Y208" s="5" t="s">
        <v>3</v>
      </c>
      <c r="Z208" s="5" t="s">
        <v>454</v>
      </c>
      <c r="AA208" s="5" t="s">
        <v>928</v>
      </c>
      <c r="AB208" s="16" t="s">
        <v>3</v>
      </c>
    </row>
    <row r="209" spans="2:28" x14ac:dyDescent="0.25">
      <c r="B209" s="18" t="s">
        <v>3782</v>
      </c>
      <c r="C209" s="44" t="s">
        <v>1962</v>
      </c>
      <c r="D209" s="20" t="s">
        <v>3824</v>
      </c>
      <c r="E209" s="51" t="s">
        <v>3</v>
      </c>
      <c r="F209" s="11">
        <v>44012</v>
      </c>
      <c r="G209" s="5" t="s">
        <v>1958</v>
      </c>
      <c r="H209" s="2"/>
      <c r="I209" s="4">
        <v>3037500</v>
      </c>
      <c r="J209" s="4">
        <v>3000000</v>
      </c>
      <c r="K209" s="4">
        <v>3019200</v>
      </c>
      <c r="L209" s="4">
        <v>3009391</v>
      </c>
      <c r="M209" s="4">
        <v>0</v>
      </c>
      <c r="N209" s="4">
        <v>-2419</v>
      </c>
      <c r="O209" s="4">
        <v>0</v>
      </c>
      <c r="P209" s="24">
        <v>-2419</v>
      </c>
      <c r="Q209" s="4">
        <v>0</v>
      </c>
      <c r="R209" s="4">
        <v>3006972</v>
      </c>
      <c r="S209" s="4">
        <v>0</v>
      </c>
      <c r="T209" s="4">
        <v>30528</v>
      </c>
      <c r="U209" s="24">
        <v>30528</v>
      </c>
      <c r="V209" s="4">
        <v>97125</v>
      </c>
      <c r="W209" s="11">
        <v>44607</v>
      </c>
      <c r="X209" s="2"/>
      <c r="Y209" s="5" t="s">
        <v>3</v>
      </c>
      <c r="Z209" s="5" t="s">
        <v>3294</v>
      </c>
      <c r="AA209" s="5" t="s">
        <v>1142</v>
      </c>
      <c r="AB209" s="16" t="s">
        <v>3</v>
      </c>
    </row>
    <row r="210" spans="2:28" x14ac:dyDescent="0.25">
      <c r="B210" s="18" t="s">
        <v>506</v>
      </c>
      <c r="C210" s="44" t="s">
        <v>3825</v>
      </c>
      <c r="D210" s="20" t="s">
        <v>4097</v>
      </c>
      <c r="E210" s="51" t="s">
        <v>3</v>
      </c>
      <c r="F210" s="11">
        <v>44094</v>
      </c>
      <c r="G210" s="5" t="s">
        <v>2686</v>
      </c>
      <c r="H210" s="2"/>
      <c r="I210" s="4">
        <v>3989470</v>
      </c>
      <c r="J210" s="4">
        <v>3989470</v>
      </c>
      <c r="K210" s="4">
        <v>3988760</v>
      </c>
      <c r="L210" s="4">
        <v>3988894</v>
      </c>
      <c r="M210" s="4">
        <v>0</v>
      </c>
      <c r="N210" s="4">
        <v>576</v>
      </c>
      <c r="O210" s="4">
        <v>0</v>
      </c>
      <c r="P210" s="24">
        <v>576</v>
      </c>
      <c r="Q210" s="4">
        <v>0</v>
      </c>
      <c r="R210" s="4">
        <v>3989470</v>
      </c>
      <c r="S210" s="4">
        <v>0</v>
      </c>
      <c r="T210" s="4">
        <v>0</v>
      </c>
      <c r="U210" s="24">
        <v>0</v>
      </c>
      <c r="V210" s="4">
        <v>101594</v>
      </c>
      <c r="W210" s="11">
        <v>52037</v>
      </c>
      <c r="X210" s="2"/>
      <c r="Y210" s="5" t="s">
        <v>3</v>
      </c>
      <c r="Z210" s="5" t="s">
        <v>2616</v>
      </c>
      <c r="AA210" s="5" t="s">
        <v>928</v>
      </c>
      <c r="AB210" s="16" t="s">
        <v>3</v>
      </c>
    </row>
    <row r="211" spans="2:28" x14ac:dyDescent="0.25">
      <c r="B211" s="18" t="s">
        <v>1929</v>
      </c>
      <c r="C211" s="44" t="s">
        <v>2352</v>
      </c>
      <c r="D211" s="20" t="s">
        <v>3459</v>
      </c>
      <c r="E211" s="51" t="s">
        <v>3</v>
      </c>
      <c r="F211" s="11">
        <v>44180</v>
      </c>
      <c r="G211" s="5" t="s">
        <v>2686</v>
      </c>
      <c r="H211" s="2"/>
      <c r="I211" s="4">
        <v>845657</v>
      </c>
      <c r="J211" s="4">
        <v>845657</v>
      </c>
      <c r="K211" s="4">
        <v>836820</v>
      </c>
      <c r="L211" s="4">
        <v>842600</v>
      </c>
      <c r="M211" s="4">
        <v>0</v>
      </c>
      <c r="N211" s="4">
        <v>3057</v>
      </c>
      <c r="O211" s="4">
        <v>0</v>
      </c>
      <c r="P211" s="24">
        <v>3057</v>
      </c>
      <c r="Q211" s="4">
        <v>0</v>
      </c>
      <c r="R211" s="4">
        <v>845657</v>
      </c>
      <c r="S211" s="4">
        <v>0</v>
      </c>
      <c r="T211" s="4">
        <v>0</v>
      </c>
      <c r="U211" s="24">
        <v>0</v>
      </c>
      <c r="V211" s="4">
        <v>7734</v>
      </c>
      <c r="W211" s="11">
        <v>52246</v>
      </c>
      <c r="X211" s="2"/>
      <c r="Y211" s="5" t="s">
        <v>3</v>
      </c>
      <c r="Z211" s="5" t="s">
        <v>3240</v>
      </c>
      <c r="AA211" s="5" t="s">
        <v>3241</v>
      </c>
      <c r="AB211" s="16" t="s">
        <v>3</v>
      </c>
    </row>
    <row r="212" spans="2:28" x14ac:dyDescent="0.25">
      <c r="B212" s="18" t="s">
        <v>3013</v>
      </c>
      <c r="C212" s="44" t="s">
        <v>233</v>
      </c>
      <c r="D212" s="20" t="s">
        <v>3518</v>
      </c>
      <c r="E212" s="51" t="s">
        <v>3</v>
      </c>
      <c r="F212" s="11">
        <v>44121</v>
      </c>
      <c r="G212" s="5" t="s">
        <v>2686</v>
      </c>
      <c r="H212" s="2"/>
      <c r="I212" s="4">
        <v>4246087</v>
      </c>
      <c r="J212" s="4">
        <v>4246087</v>
      </c>
      <c r="K212" s="4">
        <v>4244523</v>
      </c>
      <c r="L212" s="4">
        <v>4244711</v>
      </c>
      <c r="M212" s="4">
        <v>0</v>
      </c>
      <c r="N212" s="4">
        <v>1376</v>
      </c>
      <c r="O212" s="4">
        <v>0</v>
      </c>
      <c r="P212" s="24">
        <v>1376</v>
      </c>
      <c r="Q212" s="4">
        <v>0</v>
      </c>
      <c r="R212" s="4">
        <v>4246087</v>
      </c>
      <c r="S212" s="4">
        <v>0</v>
      </c>
      <c r="T212" s="4">
        <v>0</v>
      </c>
      <c r="U212" s="24">
        <v>0</v>
      </c>
      <c r="V212" s="4">
        <v>130025</v>
      </c>
      <c r="W212" s="11">
        <v>54226</v>
      </c>
      <c r="X212" s="2"/>
      <c r="Y212" s="5" t="s">
        <v>3</v>
      </c>
      <c r="Z212" s="5" t="s">
        <v>1963</v>
      </c>
      <c r="AA212" s="5" t="s">
        <v>928</v>
      </c>
      <c r="AB212" s="16" t="s">
        <v>3</v>
      </c>
    </row>
    <row r="213" spans="2:28" x14ac:dyDescent="0.25">
      <c r="B213" s="18" t="s">
        <v>4139</v>
      </c>
      <c r="C213" s="44" t="s">
        <v>874</v>
      </c>
      <c r="D213" s="20" t="s">
        <v>3460</v>
      </c>
      <c r="E213" s="51" t="s">
        <v>3</v>
      </c>
      <c r="F213" s="11">
        <v>44094</v>
      </c>
      <c r="G213" s="5" t="s">
        <v>2686</v>
      </c>
      <c r="H213" s="2"/>
      <c r="I213" s="4">
        <v>4125000</v>
      </c>
      <c r="J213" s="4">
        <v>4125000</v>
      </c>
      <c r="K213" s="4">
        <v>4124218</v>
      </c>
      <c r="L213" s="4">
        <v>4124306</v>
      </c>
      <c r="M213" s="4">
        <v>0</v>
      </c>
      <c r="N213" s="4">
        <v>694</v>
      </c>
      <c r="O213" s="4">
        <v>0</v>
      </c>
      <c r="P213" s="24">
        <v>694</v>
      </c>
      <c r="Q213" s="4">
        <v>0</v>
      </c>
      <c r="R213" s="4">
        <v>4125000</v>
      </c>
      <c r="S213" s="4">
        <v>0</v>
      </c>
      <c r="T213" s="4">
        <v>0</v>
      </c>
      <c r="U213" s="24">
        <v>0</v>
      </c>
      <c r="V213" s="4">
        <v>117266</v>
      </c>
      <c r="W213" s="11">
        <v>52310</v>
      </c>
      <c r="X213" s="2"/>
      <c r="Y213" s="5" t="s">
        <v>3</v>
      </c>
      <c r="Z213" s="5" t="s">
        <v>2617</v>
      </c>
      <c r="AA213" s="5" t="s">
        <v>928</v>
      </c>
      <c r="AB213" s="16" t="s">
        <v>3</v>
      </c>
    </row>
    <row r="214" spans="2:28" x14ac:dyDescent="0.25">
      <c r="B214" s="18" t="s">
        <v>828</v>
      </c>
      <c r="C214" s="44" t="s">
        <v>1964</v>
      </c>
      <c r="D214" s="20" t="s">
        <v>3460</v>
      </c>
      <c r="E214" s="51" t="s">
        <v>3</v>
      </c>
      <c r="F214" s="11">
        <v>44094</v>
      </c>
      <c r="G214" s="5" t="s">
        <v>2686</v>
      </c>
      <c r="H214" s="2"/>
      <c r="I214" s="4">
        <v>5100000</v>
      </c>
      <c r="J214" s="4">
        <v>5100000</v>
      </c>
      <c r="K214" s="4">
        <v>5098182</v>
      </c>
      <c r="L214" s="4">
        <v>5098395</v>
      </c>
      <c r="M214" s="4">
        <v>0</v>
      </c>
      <c r="N214" s="4">
        <v>1605</v>
      </c>
      <c r="O214" s="4">
        <v>0</v>
      </c>
      <c r="P214" s="24">
        <v>1605</v>
      </c>
      <c r="Q214" s="4">
        <v>0</v>
      </c>
      <c r="R214" s="4">
        <v>5100000</v>
      </c>
      <c r="S214" s="4">
        <v>0</v>
      </c>
      <c r="T214" s="4">
        <v>0</v>
      </c>
      <c r="U214" s="24">
        <v>0</v>
      </c>
      <c r="V214" s="4">
        <v>153983</v>
      </c>
      <c r="W214" s="11">
        <v>52404</v>
      </c>
      <c r="X214" s="2"/>
      <c r="Y214" s="5" t="s">
        <v>3</v>
      </c>
      <c r="Z214" s="5" t="s">
        <v>2617</v>
      </c>
      <c r="AA214" s="5" t="s">
        <v>928</v>
      </c>
      <c r="AB214" s="16" t="s">
        <v>3</v>
      </c>
    </row>
    <row r="215" spans="2:28" x14ac:dyDescent="0.25">
      <c r="B215" s="18" t="s">
        <v>1931</v>
      </c>
      <c r="C215" s="44" t="s">
        <v>3726</v>
      </c>
      <c r="D215" s="20" t="s">
        <v>2155</v>
      </c>
      <c r="E215" s="51" t="s">
        <v>3</v>
      </c>
      <c r="F215" s="11">
        <v>44180</v>
      </c>
      <c r="G215" s="5" t="s">
        <v>2686</v>
      </c>
      <c r="H215" s="2"/>
      <c r="I215" s="4">
        <v>958964</v>
      </c>
      <c r="J215" s="4">
        <v>958964</v>
      </c>
      <c r="K215" s="4">
        <v>958950</v>
      </c>
      <c r="L215" s="4">
        <v>958958</v>
      </c>
      <c r="M215" s="4">
        <v>0</v>
      </c>
      <c r="N215" s="4">
        <v>6</v>
      </c>
      <c r="O215" s="4">
        <v>0</v>
      </c>
      <c r="P215" s="24">
        <v>6</v>
      </c>
      <c r="Q215" s="4">
        <v>0</v>
      </c>
      <c r="R215" s="4">
        <v>958964</v>
      </c>
      <c r="S215" s="4">
        <v>0</v>
      </c>
      <c r="T215" s="4">
        <v>0</v>
      </c>
      <c r="U215" s="24">
        <v>0</v>
      </c>
      <c r="V215" s="4">
        <v>13986</v>
      </c>
      <c r="W215" s="11">
        <v>53919</v>
      </c>
      <c r="X215" s="2"/>
      <c r="Y215" s="5" t="s">
        <v>3</v>
      </c>
      <c r="Z215" s="5" t="s">
        <v>3727</v>
      </c>
      <c r="AA215" s="5" t="s">
        <v>928</v>
      </c>
      <c r="AB215" s="16" t="s">
        <v>3</v>
      </c>
    </row>
    <row r="216" spans="2:28" x14ac:dyDescent="0.25">
      <c r="B216" s="18" t="s">
        <v>3014</v>
      </c>
      <c r="C216" s="44" t="s">
        <v>1965</v>
      </c>
      <c r="D216" s="20" t="s">
        <v>3407</v>
      </c>
      <c r="E216" s="51" t="s">
        <v>3</v>
      </c>
      <c r="F216" s="11">
        <v>44097</v>
      </c>
      <c r="G216" s="5" t="s">
        <v>526</v>
      </c>
      <c r="H216" s="2"/>
      <c r="I216" s="4">
        <v>2000000</v>
      </c>
      <c r="J216" s="4">
        <v>2000000</v>
      </c>
      <c r="K216" s="4">
        <v>1965220</v>
      </c>
      <c r="L216" s="4">
        <v>1989207</v>
      </c>
      <c r="M216" s="4">
        <v>0</v>
      </c>
      <c r="N216" s="4">
        <v>10793</v>
      </c>
      <c r="O216" s="4">
        <v>0</v>
      </c>
      <c r="P216" s="24">
        <v>10793</v>
      </c>
      <c r="Q216" s="4">
        <v>0</v>
      </c>
      <c r="R216" s="4">
        <v>2000000</v>
      </c>
      <c r="S216" s="4">
        <v>0</v>
      </c>
      <c r="T216" s="4">
        <v>0</v>
      </c>
      <c r="U216" s="24">
        <v>0</v>
      </c>
      <c r="V216" s="4">
        <v>37583</v>
      </c>
      <c r="W216" s="11">
        <v>44127</v>
      </c>
      <c r="X216" s="2"/>
      <c r="Y216" s="5" t="s">
        <v>1022</v>
      </c>
      <c r="Z216" s="5" t="s">
        <v>3407</v>
      </c>
      <c r="AA216" s="5" t="s">
        <v>3</v>
      </c>
      <c r="AB216" s="16" t="s">
        <v>3</v>
      </c>
    </row>
    <row r="217" spans="2:28" x14ac:dyDescent="0.25">
      <c r="B217" s="18" t="s">
        <v>4140</v>
      </c>
      <c r="C217" s="44" t="s">
        <v>234</v>
      </c>
      <c r="D217" s="20" t="s">
        <v>2419</v>
      </c>
      <c r="E217" s="51" t="s">
        <v>3</v>
      </c>
      <c r="F217" s="11">
        <v>44133</v>
      </c>
      <c r="G217" s="5" t="s">
        <v>2994</v>
      </c>
      <c r="H217" s="2"/>
      <c r="I217" s="4">
        <v>7951364</v>
      </c>
      <c r="J217" s="4">
        <v>8414141</v>
      </c>
      <c r="K217" s="4">
        <v>8190914</v>
      </c>
      <c r="L217" s="4">
        <v>8219002</v>
      </c>
      <c r="M217" s="4">
        <v>0</v>
      </c>
      <c r="N217" s="4">
        <v>11204</v>
      </c>
      <c r="O217" s="4">
        <v>0</v>
      </c>
      <c r="P217" s="24">
        <v>11204</v>
      </c>
      <c r="Q217" s="4">
        <v>0</v>
      </c>
      <c r="R217" s="4">
        <v>8230205</v>
      </c>
      <c r="S217" s="4">
        <v>0</v>
      </c>
      <c r="T217" s="4">
        <v>-278842</v>
      </c>
      <c r="U217" s="24">
        <v>-278842</v>
      </c>
      <c r="V217" s="4">
        <v>258706</v>
      </c>
      <c r="W217" s="11">
        <v>47033</v>
      </c>
      <c r="X217" s="2"/>
      <c r="Y217" s="5" t="s">
        <v>3</v>
      </c>
      <c r="Z217" s="5" t="s">
        <v>1330</v>
      </c>
      <c r="AA217" s="5" t="s">
        <v>1330</v>
      </c>
      <c r="AB217" s="16" t="s">
        <v>3</v>
      </c>
    </row>
    <row r="218" spans="2:28" x14ac:dyDescent="0.25">
      <c r="B218" s="18" t="s">
        <v>829</v>
      </c>
      <c r="C218" s="44" t="s">
        <v>234</v>
      </c>
      <c r="D218" s="20" t="s">
        <v>2419</v>
      </c>
      <c r="E218" s="51" t="s">
        <v>3</v>
      </c>
      <c r="F218" s="11">
        <v>44111</v>
      </c>
      <c r="G218" s="5" t="s">
        <v>2194</v>
      </c>
      <c r="H218" s="2"/>
      <c r="I218" s="4">
        <v>528620</v>
      </c>
      <c r="J218" s="4">
        <v>528620</v>
      </c>
      <c r="K218" s="4">
        <v>514595</v>
      </c>
      <c r="L218" s="4">
        <v>516360</v>
      </c>
      <c r="M218" s="4">
        <v>0</v>
      </c>
      <c r="N218" s="4">
        <v>12260</v>
      </c>
      <c r="O218" s="4">
        <v>0</v>
      </c>
      <c r="P218" s="24">
        <v>12260</v>
      </c>
      <c r="Q218" s="4">
        <v>0</v>
      </c>
      <c r="R218" s="4">
        <v>528620</v>
      </c>
      <c r="S218" s="4">
        <v>0</v>
      </c>
      <c r="T218" s="4">
        <v>0</v>
      </c>
      <c r="U218" s="24">
        <v>0</v>
      </c>
      <c r="V218" s="4">
        <v>11398</v>
      </c>
      <c r="W218" s="11">
        <v>47033</v>
      </c>
      <c r="X218" s="2"/>
      <c r="Y218" s="5" t="s">
        <v>3</v>
      </c>
      <c r="Z218" s="5" t="s">
        <v>1330</v>
      </c>
      <c r="AA218" s="5" t="s">
        <v>1330</v>
      </c>
      <c r="AB218" s="16" t="s">
        <v>3</v>
      </c>
    </row>
    <row r="219" spans="2:28" x14ac:dyDescent="0.25">
      <c r="B219" s="18" t="s">
        <v>2667</v>
      </c>
      <c r="C219" s="44" t="s">
        <v>4099</v>
      </c>
      <c r="D219" s="20" t="s">
        <v>3729</v>
      </c>
      <c r="E219" s="51" t="s">
        <v>3</v>
      </c>
      <c r="F219" s="11">
        <v>44136</v>
      </c>
      <c r="G219" s="5" t="s">
        <v>2194</v>
      </c>
      <c r="H219" s="2"/>
      <c r="I219" s="4">
        <v>73843</v>
      </c>
      <c r="J219" s="4">
        <v>73843</v>
      </c>
      <c r="K219" s="4">
        <v>74119</v>
      </c>
      <c r="L219" s="4">
        <v>74119</v>
      </c>
      <c r="M219" s="4">
        <v>0</v>
      </c>
      <c r="N219" s="4">
        <v>-276</v>
      </c>
      <c r="O219" s="4">
        <v>0</v>
      </c>
      <c r="P219" s="24">
        <v>-276</v>
      </c>
      <c r="Q219" s="4">
        <v>0</v>
      </c>
      <c r="R219" s="4">
        <v>73843</v>
      </c>
      <c r="S219" s="4">
        <v>0</v>
      </c>
      <c r="T219" s="4">
        <v>0</v>
      </c>
      <c r="U219" s="24">
        <v>0</v>
      </c>
      <c r="V219" s="4">
        <v>2260</v>
      </c>
      <c r="W219" s="11">
        <v>48335</v>
      </c>
      <c r="X219" s="2"/>
      <c r="Y219" s="5" t="s">
        <v>3</v>
      </c>
      <c r="Z219" s="5" t="s">
        <v>1521</v>
      </c>
      <c r="AA219" s="5" t="s">
        <v>1521</v>
      </c>
      <c r="AB219" s="16" t="s">
        <v>3</v>
      </c>
    </row>
    <row r="220" spans="2:28" x14ac:dyDescent="0.25">
      <c r="B220" s="18" t="s">
        <v>4141</v>
      </c>
      <c r="C220" s="44" t="s">
        <v>3826</v>
      </c>
      <c r="D220" s="20" t="s">
        <v>1331</v>
      </c>
      <c r="E220" s="51" t="s">
        <v>3</v>
      </c>
      <c r="F220" s="11">
        <v>44131</v>
      </c>
      <c r="G220" s="5" t="s">
        <v>4397</v>
      </c>
      <c r="H220" s="2"/>
      <c r="I220" s="4">
        <v>6251066</v>
      </c>
      <c r="J220" s="4">
        <v>6452714</v>
      </c>
      <c r="K220" s="4">
        <v>6501109</v>
      </c>
      <c r="L220" s="4">
        <v>6488863</v>
      </c>
      <c r="M220" s="4">
        <v>0</v>
      </c>
      <c r="N220" s="4">
        <v>-3514</v>
      </c>
      <c r="O220" s="4">
        <v>0</v>
      </c>
      <c r="P220" s="24">
        <v>-3514</v>
      </c>
      <c r="Q220" s="4">
        <v>0</v>
      </c>
      <c r="R220" s="4">
        <v>6485349</v>
      </c>
      <c r="S220" s="4">
        <v>0</v>
      </c>
      <c r="T220" s="4">
        <v>-234282</v>
      </c>
      <c r="U220" s="24">
        <v>-234282</v>
      </c>
      <c r="V220" s="4">
        <v>202830</v>
      </c>
      <c r="W220" s="11">
        <v>46722</v>
      </c>
      <c r="X220" s="2"/>
      <c r="Y220" s="5" t="s">
        <v>3</v>
      </c>
      <c r="Z220" s="5" t="s">
        <v>4182</v>
      </c>
      <c r="AA220" s="5" t="s">
        <v>4182</v>
      </c>
      <c r="AB220" s="16" t="s">
        <v>3</v>
      </c>
    </row>
    <row r="221" spans="2:28" x14ac:dyDescent="0.25">
      <c r="B221" s="18" t="s">
        <v>830</v>
      </c>
      <c r="C221" s="44" t="s">
        <v>3826</v>
      </c>
      <c r="D221" s="20" t="s">
        <v>1331</v>
      </c>
      <c r="E221" s="51" t="s">
        <v>3</v>
      </c>
      <c r="F221" s="11">
        <v>43983</v>
      </c>
      <c r="G221" s="5" t="s">
        <v>2194</v>
      </c>
      <c r="H221" s="2"/>
      <c r="I221" s="4">
        <v>193413</v>
      </c>
      <c r="J221" s="4">
        <v>193413</v>
      </c>
      <c r="K221" s="4">
        <v>194863</v>
      </c>
      <c r="L221" s="4">
        <v>194496</v>
      </c>
      <c r="M221" s="4">
        <v>0</v>
      </c>
      <c r="N221" s="4">
        <v>-1084</v>
      </c>
      <c r="O221" s="4">
        <v>0</v>
      </c>
      <c r="P221" s="24">
        <v>-1084</v>
      </c>
      <c r="Q221" s="4">
        <v>0</v>
      </c>
      <c r="R221" s="4">
        <v>193413</v>
      </c>
      <c r="S221" s="4">
        <v>0</v>
      </c>
      <c r="T221" s="4">
        <v>0</v>
      </c>
      <c r="U221" s="24">
        <v>0</v>
      </c>
      <c r="V221" s="4">
        <v>3336</v>
      </c>
      <c r="W221" s="11">
        <v>46722</v>
      </c>
      <c r="X221" s="2"/>
      <c r="Y221" s="5" t="s">
        <v>3</v>
      </c>
      <c r="Z221" s="5" t="s">
        <v>4182</v>
      </c>
      <c r="AA221" s="5" t="s">
        <v>4182</v>
      </c>
      <c r="AB221" s="16" t="s">
        <v>3</v>
      </c>
    </row>
    <row r="222" spans="2:28" x14ac:dyDescent="0.25">
      <c r="B222" s="18" t="s">
        <v>1932</v>
      </c>
      <c r="C222" s="44" t="s">
        <v>3827</v>
      </c>
      <c r="D222" s="20" t="s">
        <v>4183</v>
      </c>
      <c r="E222" s="51" t="s">
        <v>3</v>
      </c>
      <c r="F222" s="11">
        <v>44111</v>
      </c>
      <c r="G222" s="5" t="s">
        <v>4397</v>
      </c>
      <c r="H222" s="2"/>
      <c r="I222" s="4">
        <v>2823611</v>
      </c>
      <c r="J222" s="4">
        <v>3715278</v>
      </c>
      <c r="K222" s="4">
        <v>2805064</v>
      </c>
      <c r="L222" s="4">
        <v>3715278</v>
      </c>
      <c r="M222" s="4">
        <v>0</v>
      </c>
      <c r="N222" s="4">
        <v>0</v>
      </c>
      <c r="O222" s="4">
        <v>910213</v>
      </c>
      <c r="P222" s="24">
        <v>-910213</v>
      </c>
      <c r="Q222" s="4">
        <v>0</v>
      </c>
      <c r="R222" s="4">
        <v>2805064</v>
      </c>
      <c r="S222" s="4">
        <v>0</v>
      </c>
      <c r="T222" s="4">
        <v>18547</v>
      </c>
      <c r="U222" s="24">
        <v>18547</v>
      </c>
      <c r="V222" s="4">
        <v>136361</v>
      </c>
      <c r="W222" s="11">
        <v>45937</v>
      </c>
      <c r="X222" s="2"/>
      <c r="Y222" s="5" t="s">
        <v>3</v>
      </c>
      <c r="Z222" s="5" t="s">
        <v>2420</v>
      </c>
      <c r="AA222" s="5" t="s">
        <v>2420</v>
      </c>
      <c r="AB222" s="16" t="s">
        <v>3</v>
      </c>
    </row>
    <row r="223" spans="2:28" x14ac:dyDescent="0.25">
      <c r="B223" s="18" t="s">
        <v>3015</v>
      </c>
      <c r="C223" s="44" t="s">
        <v>3827</v>
      </c>
      <c r="D223" s="20" t="s">
        <v>4183</v>
      </c>
      <c r="E223" s="51" t="s">
        <v>3</v>
      </c>
      <c r="F223" s="11">
        <v>44111</v>
      </c>
      <c r="G223" s="5" t="s">
        <v>2194</v>
      </c>
      <c r="H223" s="2"/>
      <c r="I223" s="4">
        <v>428241</v>
      </c>
      <c r="J223" s="4">
        <v>428241</v>
      </c>
      <c r="K223" s="4">
        <v>375783</v>
      </c>
      <c r="L223" s="4">
        <v>428241</v>
      </c>
      <c r="M223" s="4">
        <v>0</v>
      </c>
      <c r="N223" s="4">
        <v>52458</v>
      </c>
      <c r="O223" s="4">
        <v>52458</v>
      </c>
      <c r="P223" s="24">
        <v>0</v>
      </c>
      <c r="Q223" s="4">
        <v>0</v>
      </c>
      <c r="R223" s="4">
        <v>428241</v>
      </c>
      <c r="S223" s="4">
        <v>0</v>
      </c>
      <c r="T223" s="4">
        <v>0</v>
      </c>
      <c r="U223" s="24">
        <v>0</v>
      </c>
      <c r="V223" s="4">
        <v>11723</v>
      </c>
      <c r="W223" s="11">
        <v>45937</v>
      </c>
      <c r="X223" s="2"/>
      <c r="Y223" s="5" t="s">
        <v>3</v>
      </c>
      <c r="Z223" s="5" t="s">
        <v>2420</v>
      </c>
      <c r="AA223" s="5" t="s">
        <v>2420</v>
      </c>
      <c r="AB223" s="16" t="s">
        <v>3</v>
      </c>
    </row>
    <row r="224" spans="2:28" x14ac:dyDescent="0.25">
      <c r="B224" s="18" t="s">
        <v>4142</v>
      </c>
      <c r="C224" s="44" t="s">
        <v>1966</v>
      </c>
      <c r="D224" s="20" t="s">
        <v>3295</v>
      </c>
      <c r="E224" s="51" t="s">
        <v>3</v>
      </c>
      <c r="F224" s="11">
        <v>44194</v>
      </c>
      <c r="G224" s="5" t="s">
        <v>1104</v>
      </c>
      <c r="H224" s="2"/>
      <c r="I224" s="4">
        <v>10000000</v>
      </c>
      <c r="J224" s="4">
        <v>10000000</v>
      </c>
      <c r="K224" s="4">
        <v>9992106</v>
      </c>
      <c r="L224" s="4">
        <v>9995702</v>
      </c>
      <c r="M224" s="4">
        <v>0</v>
      </c>
      <c r="N224" s="4">
        <v>4298</v>
      </c>
      <c r="O224" s="4">
        <v>0</v>
      </c>
      <c r="P224" s="24">
        <v>4298</v>
      </c>
      <c r="Q224" s="4">
        <v>0</v>
      </c>
      <c r="R224" s="4">
        <v>10000000</v>
      </c>
      <c r="S224" s="4">
        <v>0</v>
      </c>
      <c r="T224" s="4">
        <v>0</v>
      </c>
      <c r="U224" s="24">
        <v>0</v>
      </c>
      <c r="V224" s="4">
        <v>332917</v>
      </c>
      <c r="W224" s="11">
        <v>44225</v>
      </c>
      <c r="X224" s="2"/>
      <c r="Y224" s="5" t="s">
        <v>4315</v>
      </c>
      <c r="Z224" s="5" t="s">
        <v>114</v>
      </c>
      <c r="AA224" s="5" t="s">
        <v>3</v>
      </c>
      <c r="AB224" s="16" t="s">
        <v>3</v>
      </c>
    </row>
    <row r="225" spans="2:28" x14ac:dyDescent="0.25">
      <c r="B225" s="18" t="s">
        <v>831</v>
      </c>
      <c r="C225" s="44" t="s">
        <v>4184</v>
      </c>
      <c r="D225" s="20" t="s">
        <v>2421</v>
      </c>
      <c r="E225" s="51" t="s">
        <v>3</v>
      </c>
      <c r="F225" s="11">
        <v>43894</v>
      </c>
      <c r="G225" s="5" t="s">
        <v>3519</v>
      </c>
      <c r="H225" s="2"/>
      <c r="I225" s="4">
        <v>5349591</v>
      </c>
      <c r="J225" s="4">
        <v>5000000</v>
      </c>
      <c r="K225" s="4">
        <v>4942250</v>
      </c>
      <c r="L225" s="4">
        <v>4950392</v>
      </c>
      <c r="M225" s="4">
        <v>0</v>
      </c>
      <c r="N225" s="4">
        <v>49607.65</v>
      </c>
      <c r="O225" s="4">
        <v>0</v>
      </c>
      <c r="P225" s="24">
        <v>49607.65</v>
      </c>
      <c r="Q225" s="4">
        <v>0</v>
      </c>
      <c r="R225" s="4">
        <v>5349591</v>
      </c>
      <c r="S225" s="4">
        <v>0</v>
      </c>
      <c r="T225" s="4">
        <v>0</v>
      </c>
      <c r="U225" s="24">
        <v>0</v>
      </c>
      <c r="V225" s="4">
        <v>396258.35</v>
      </c>
      <c r="W225" s="11">
        <v>45416</v>
      </c>
      <c r="X225" s="2"/>
      <c r="Y225" s="5" t="s">
        <v>1967</v>
      </c>
      <c r="Z225" s="5" t="s">
        <v>235</v>
      </c>
      <c r="AA225" s="5" t="s">
        <v>2422</v>
      </c>
      <c r="AB225" s="16" t="s">
        <v>3</v>
      </c>
    </row>
    <row r="226" spans="2:28" x14ac:dyDescent="0.25">
      <c r="B226" s="18" t="s">
        <v>1933</v>
      </c>
      <c r="C226" s="44" t="s">
        <v>4185</v>
      </c>
      <c r="D226" s="20" t="s">
        <v>2204</v>
      </c>
      <c r="E226" s="51" t="s">
        <v>3</v>
      </c>
      <c r="F226" s="11">
        <v>44102</v>
      </c>
      <c r="G226" s="5" t="s">
        <v>526</v>
      </c>
      <c r="H226" s="2"/>
      <c r="I226" s="4">
        <v>3000000</v>
      </c>
      <c r="J226" s="4">
        <v>3000000</v>
      </c>
      <c r="K226" s="4">
        <v>3045000</v>
      </c>
      <c r="L226" s="4">
        <v>3006821</v>
      </c>
      <c r="M226" s="4">
        <v>0</v>
      </c>
      <c r="N226" s="4">
        <v>-6821</v>
      </c>
      <c r="O226" s="4">
        <v>0</v>
      </c>
      <c r="P226" s="24">
        <v>-6821</v>
      </c>
      <c r="Q226" s="4">
        <v>0</v>
      </c>
      <c r="R226" s="4">
        <v>3000000</v>
      </c>
      <c r="S226" s="4">
        <v>0</v>
      </c>
      <c r="T226" s="4">
        <v>0</v>
      </c>
      <c r="U226" s="24">
        <v>0</v>
      </c>
      <c r="V226" s="4">
        <v>165063</v>
      </c>
      <c r="W226" s="11">
        <v>44774</v>
      </c>
      <c r="X226" s="2"/>
      <c r="Y226" s="5" t="s">
        <v>1968</v>
      </c>
      <c r="Z226" s="5" t="s">
        <v>2204</v>
      </c>
      <c r="AA226" s="5" t="s">
        <v>3</v>
      </c>
      <c r="AB226" s="16" t="s">
        <v>3</v>
      </c>
    </row>
    <row r="227" spans="2:28" x14ac:dyDescent="0.25">
      <c r="B227" s="18" t="s">
        <v>3016</v>
      </c>
      <c r="C227" s="44" t="s">
        <v>3730</v>
      </c>
      <c r="D227" s="20" t="s">
        <v>456</v>
      </c>
      <c r="E227" s="51" t="s">
        <v>3</v>
      </c>
      <c r="F227" s="11">
        <v>44185</v>
      </c>
      <c r="G227" s="5" t="s">
        <v>2686</v>
      </c>
      <c r="H227" s="2"/>
      <c r="I227" s="4">
        <v>1702960</v>
      </c>
      <c r="J227" s="4">
        <v>1702960</v>
      </c>
      <c r="K227" s="4">
        <v>1715170</v>
      </c>
      <c r="L227" s="4">
        <v>1714080</v>
      </c>
      <c r="M227" s="4">
        <v>0</v>
      </c>
      <c r="N227" s="4">
        <v>-11120</v>
      </c>
      <c r="O227" s="4">
        <v>0</v>
      </c>
      <c r="P227" s="24">
        <v>-11120</v>
      </c>
      <c r="Q227" s="4">
        <v>0</v>
      </c>
      <c r="R227" s="4">
        <v>1702960</v>
      </c>
      <c r="S227" s="4">
        <v>0</v>
      </c>
      <c r="T227" s="4">
        <v>0</v>
      </c>
      <c r="U227" s="24">
        <v>0</v>
      </c>
      <c r="V227" s="4">
        <v>33431</v>
      </c>
      <c r="W227" s="11">
        <v>49725</v>
      </c>
      <c r="X227" s="2"/>
      <c r="Y227" s="5" t="s">
        <v>3</v>
      </c>
      <c r="Z227" s="5" t="s">
        <v>4372</v>
      </c>
      <c r="AA227" s="5" t="s">
        <v>928</v>
      </c>
      <c r="AB227" s="16" t="s">
        <v>3</v>
      </c>
    </row>
    <row r="228" spans="2:28" x14ac:dyDescent="0.25">
      <c r="B228" s="18" t="s">
        <v>4143</v>
      </c>
      <c r="C228" s="44" t="s">
        <v>2423</v>
      </c>
      <c r="D228" s="20" t="s">
        <v>536</v>
      </c>
      <c r="E228" s="51" t="s">
        <v>3</v>
      </c>
      <c r="F228" s="11">
        <v>44032</v>
      </c>
      <c r="G228" s="5" t="s">
        <v>4186</v>
      </c>
      <c r="H228" s="2"/>
      <c r="I228" s="4">
        <v>6565000</v>
      </c>
      <c r="J228" s="4">
        <v>6500000</v>
      </c>
      <c r="K228" s="4">
        <v>6498245</v>
      </c>
      <c r="L228" s="4">
        <v>6498489</v>
      </c>
      <c r="M228" s="4">
        <v>0</v>
      </c>
      <c r="N228" s="4">
        <v>1511</v>
      </c>
      <c r="O228" s="4">
        <v>0</v>
      </c>
      <c r="P228" s="24">
        <v>1511</v>
      </c>
      <c r="Q228" s="4">
        <v>0</v>
      </c>
      <c r="R228" s="4">
        <v>6565000</v>
      </c>
      <c r="S228" s="4">
        <v>0</v>
      </c>
      <c r="T228" s="4">
        <v>0</v>
      </c>
      <c r="U228" s="24">
        <v>0</v>
      </c>
      <c r="V228" s="4">
        <v>189222</v>
      </c>
      <c r="W228" s="11">
        <v>46188</v>
      </c>
      <c r="X228" s="2"/>
      <c r="Y228" s="5" t="s">
        <v>2205</v>
      </c>
      <c r="Z228" s="5" t="s">
        <v>1969</v>
      </c>
      <c r="AA228" s="5" t="s">
        <v>3</v>
      </c>
      <c r="AB228" s="16" t="s">
        <v>3</v>
      </c>
    </row>
    <row r="229" spans="2:28" x14ac:dyDescent="0.25">
      <c r="B229" s="18" t="s">
        <v>1934</v>
      </c>
      <c r="C229" s="44" t="s">
        <v>875</v>
      </c>
      <c r="D229" s="20" t="s">
        <v>3828</v>
      </c>
      <c r="E229" s="51" t="s">
        <v>3</v>
      </c>
      <c r="F229" s="11">
        <v>43854</v>
      </c>
      <c r="G229" s="5" t="s">
        <v>4396</v>
      </c>
      <c r="H229" s="2"/>
      <c r="I229" s="4">
        <v>2000000</v>
      </c>
      <c r="J229" s="4">
        <v>2000000</v>
      </c>
      <c r="K229" s="4">
        <v>2000000</v>
      </c>
      <c r="L229" s="4">
        <v>2000000</v>
      </c>
      <c r="M229" s="4">
        <v>0</v>
      </c>
      <c r="N229" s="4">
        <v>0</v>
      </c>
      <c r="O229" s="4">
        <v>0</v>
      </c>
      <c r="P229" s="24">
        <v>0</v>
      </c>
      <c r="Q229" s="4">
        <v>0</v>
      </c>
      <c r="R229" s="4">
        <v>2000000</v>
      </c>
      <c r="S229" s="4">
        <v>0</v>
      </c>
      <c r="T229" s="4">
        <v>0</v>
      </c>
      <c r="U229" s="24">
        <v>0</v>
      </c>
      <c r="V229" s="4">
        <v>5000</v>
      </c>
      <c r="W229" s="11">
        <v>45748</v>
      </c>
      <c r="X229" s="2"/>
      <c r="Y229" s="5" t="s">
        <v>3</v>
      </c>
      <c r="Z229" s="5" t="s">
        <v>876</v>
      </c>
      <c r="AA229" s="5" t="s">
        <v>2702</v>
      </c>
      <c r="AB229" s="16" t="s">
        <v>3</v>
      </c>
    </row>
    <row r="230" spans="2:28" x14ac:dyDescent="0.25">
      <c r="B230" s="18" t="s">
        <v>3017</v>
      </c>
      <c r="C230" s="44" t="s">
        <v>1891</v>
      </c>
      <c r="D230" s="20" t="s">
        <v>2619</v>
      </c>
      <c r="E230" s="51" t="s">
        <v>3</v>
      </c>
      <c r="F230" s="11">
        <v>44180</v>
      </c>
      <c r="G230" s="5" t="s">
        <v>2686</v>
      </c>
      <c r="H230" s="2"/>
      <c r="I230" s="4">
        <v>55000</v>
      </c>
      <c r="J230" s="4">
        <v>55000</v>
      </c>
      <c r="K230" s="4">
        <v>54899</v>
      </c>
      <c r="L230" s="4">
        <v>54911</v>
      </c>
      <c r="M230" s="4">
        <v>0</v>
      </c>
      <c r="N230" s="4">
        <v>89</v>
      </c>
      <c r="O230" s="4">
        <v>0</v>
      </c>
      <c r="P230" s="24">
        <v>89</v>
      </c>
      <c r="Q230" s="4">
        <v>0</v>
      </c>
      <c r="R230" s="4">
        <v>55000</v>
      </c>
      <c r="S230" s="4">
        <v>0</v>
      </c>
      <c r="T230" s="4">
        <v>0</v>
      </c>
      <c r="U230" s="24">
        <v>0</v>
      </c>
      <c r="V230" s="4">
        <v>1228</v>
      </c>
      <c r="W230" s="11">
        <v>54132</v>
      </c>
      <c r="X230" s="2"/>
      <c r="Y230" s="5" t="s">
        <v>3</v>
      </c>
      <c r="Z230" s="5" t="s">
        <v>2357</v>
      </c>
      <c r="AA230" s="5" t="s">
        <v>928</v>
      </c>
      <c r="AB230" s="16" t="s">
        <v>3</v>
      </c>
    </row>
    <row r="231" spans="2:28" x14ac:dyDescent="0.25">
      <c r="B231" s="18" t="s">
        <v>4144</v>
      </c>
      <c r="C231" s="44" t="s">
        <v>2979</v>
      </c>
      <c r="D231" s="20" t="s">
        <v>4378</v>
      </c>
      <c r="E231" s="51" t="s">
        <v>3</v>
      </c>
      <c r="F231" s="11">
        <v>44180</v>
      </c>
      <c r="G231" s="5" t="s">
        <v>2686</v>
      </c>
      <c r="H231" s="2"/>
      <c r="I231" s="4">
        <v>120000</v>
      </c>
      <c r="J231" s="4">
        <v>120000</v>
      </c>
      <c r="K231" s="4">
        <v>120000</v>
      </c>
      <c r="L231" s="4">
        <v>120000</v>
      </c>
      <c r="M231" s="4">
        <v>0</v>
      </c>
      <c r="N231" s="4">
        <v>0</v>
      </c>
      <c r="O231" s="4">
        <v>0</v>
      </c>
      <c r="P231" s="24">
        <v>0</v>
      </c>
      <c r="Q231" s="4">
        <v>0</v>
      </c>
      <c r="R231" s="4">
        <v>120000</v>
      </c>
      <c r="S231" s="4">
        <v>0</v>
      </c>
      <c r="T231" s="4">
        <v>0</v>
      </c>
      <c r="U231" s="24">
        <v>0</v>
      </c>
      <c r="V231" s="4">
        <v>3026</v>
      </c>
      <c r="W231" s="11">
        <v>54589</v>
      </c>
      <c r="X231" s="2"/>
      <c r="Y231" s="5" t="s">
        <v>3</v>
      </c>
      <c r="Z231" s="5" t="s">
        <v>2160</v>
      </c>
      <c r="AA231" s="5" t="s">
        <v>928</v>
      </c>
      <c r="AB231" s="16" t="s">
        <v>3</v>
      </c>
    </row>
    <row r="232" spans="2:28" x14ac:dyDescent="0.25">
      <c r="B232" s="18" t="s">
        <v>832</v>
      </c>
      <c r="C232" s="44" t="s">
        <v>2703</v>
      </c>
      <c r="D232" s="20" t="s">
        <v>3829</v>
      </c>
      <c r="E232" s="51" t="s">
        <v>3</v>
      </c>
      <c r="F232" s="11">
        <v>43952</v>
      </c>
      <c r="G232" s="5" t="s">
        <v>4397</v>
      </c>
      <c r="H232" s="2"/>
      <c r="I232" s="4">
        <v>7285781</v>
      </c>
      <c r="J232" s="4">
        <v>7425000</v>
      </c>
      <c r="K232" s="4">
        <v>7423169</v>
      </c>
      <c r="L232" s="4">
        <v>7423502</v>
      </c>
      <c r="M232" s="4">
        <v>0</v>
      </c>
      <c r="N232" s="4">
        <v>114</v>
      </c>
      <c r="O232" s="4">
        <v>0</v>
      </c>
      <c r="P232" s="24">
        <v>114</v>
      </c>
      <c r="Q232" s="4">
        <v>0</v>
      </c>
      <c r="R232" s="4">
        <v>7423616</v>
      </c>
      <c r="S232" s="4">
        <v>0</v>
      </c>
      <c r="T232" s="4">
        <v>-137835</v>
      </c>
      <c r="U232" s="24">
        <v>-137835</v>
      </c>
      <c r="V232" s="4">
        <v>111746</v>
      </c>
      <c r="W232" s="11">
        <v>45884</v>
      </c>
      <c r="X232" s="2"/>
      <c r="Y232" s="5" t="s">
        <v>3</v>
      </c>
      <c r="Z232" s="5" t="s">
        <v>3246</v>
      </c>
      <c r="AA232" s="5" t="s">
        <v>236</v>
      </c>
      <c r="AB232" s="16" t="s">
        <v>3</v>
      </c>
    </row>
    <row r="233" spans="2:28" x14ac:dyDescent="0.25">
      <c r="B233" s="18" t="s">
        <v>1935</v>
      </c>
      <c r="C233" s="44" t="s">
        <v>237</v>
      </c>
      <c r="D233" s="20" t="s">
        <v>1332</v>
      </c>
      <c r="E233" s="51" t="s">
        <v>3</v>
      </c>
      <c r="F233" s="11">
        <v>44166</v>
      </c>
      <c r="G233" s="5" t="s">
        <v>3296</v>
      </c>
      <c r="H233" s="2"/>
      <c r="I233" s="4">
        <v>5140500</v>
      </c>
      <c r="J233" s="4">
        <v>5000000</v>
      </c>
      <c r="K233" s="4">
        <v>4998650</v>
      </c>
      <c r="L233" s="4">
        <v>4999371</v>
      </c>
      <c r="M233" s="4">
        <v>0</v>
      </c>
      <c r="N233" s="4">
        <v>630</v>
      </c>
      <c r="O233" s="4">
        <v>0</v>
      </c>
      <c r="P233" s="24">
        <v>630</v>
      </c>
      <c r="Q233" s="4">
        <v>0</v>
      </c>
      <c r="R233" s="4">
        <v>5140500</v>
      </c>
      <c r="S233" s="4">
        <v>0</v>
      </c>
      <c r="T233" s="4">
        <v>0</v>
      </c>
      <c r="U233" s="24">
        <v>0</v>
      </c>
      <c r="V233" s="4">
        <v>297944</v>
      </c>
      <c r="W233" s="11">
        <v>44635</v>
      </c>
      <c r="X233" s="2"/>
      <c r="Y233" s="5" t="s">
        <v>3952</v>
      </c>
      <c r="Z233" s="5" t="s">
        <v>1333</v>
      </c>
      <c r="AA233" s="5" t="s">
        <v>3</v>
      </c>
      <c r="AB233" s="16" t="s">
        <v>3</v>
      </c>
    </row>
    <row r="234" spans="2:28" x14ac:dyDescent="0.25">
      <c r="B234" s="18" t="s">
        <v>3018</v>
      </c>
      <c r="C234" s="44" t="s">
        <v>1143</v>
      </c>
      <c r="D234" s="20" t="s">
        <v>3059</v>
      </c>
      <c r="E234" s="51" t="s">
        <v>3</v>
      </c>
      <c r="F234" s="11">
        <v>44117</v>
      </c>
      <c r="G234" s="5" t="s">
        <v>1104</v>
      </c>
      <c r="H234" s="2"/>
      <c r="I234" s="4">
        <v>5500000</v>
      </c>
      <c r="J234" s="4">
        <v>5500000</v>
      </c>
      <c r="K234" s="4">
        <v>5725380</v>
      </c>
      <c r="L234" s="4">
        <v>5548390</v>
      </c>
      <c r="M234" s="4">
        <v>0</v>
      </c>
      <c r="N234" s="4">
        <v>-48390</v>
      </c>
      <c r="O234" s="4">
        <v>0</v>
      </c>
      <c r="P234" s="24">
        <v>-48390</v>
      </c>
      <c r="Q234" s="4">
        <v>0</v>
      </c>
      <c r="R234" s="4">
        <v>5500000</v>
      </c>
      <c r="S234" s="4">
        <v>0</v>
      </c>
      <c r="T234" s="4">
        <v>0</v>
      </c>
      <c r="U234" s="24">
        <v>0</v>
      </c>
      <c r="V234" s="4">
        <v>173938</v>
      </c>
      <c r="W234" s="11">
        <v>44148</v>
      </c>
      <c r="X234" s="2"/>
      <c r="Y234" s="5" t="s">
        <v>537</v>
      </c>
      <c r="Z234" s="5" t="s">
        <v>3297</v>
      </c>
      <c r="AA234" s="5" t="s">
        <v>3</v>
      </c>
      <c r="AB234" s="16" t="s">
        <v>3</v>
      </c>
    </row>
    <row r="235" spans="2:28" x14ac:dyDescent="0.25">
      <c r="B235" s="18" t="s">
        <v>4145</v>
      </c>
      <c r="C235" s="44" t="s">
        <v>386</v>
      </c>
      <c r="D235" s="20" t="s">
        <v>1459</v>
      </c>
      <c r="E235" s="51" t="s">
        <v>3</v>
      </c>
      <c r="F235" s="11">
        <v>43921</v>
      </c>
      <c r="G235" s="5" t="s">
        <v>2194</v>
      </c>
      <c r="H235" s="2"/>
      <c r="I235" s="4">
        <v>1400000</v>
      </c>
      <c r="J235" s="4">
        <v>1400000</v>
      </c>
      <c r="K235" s="4">
        <v>1400000</v>
      </c>
      <c r="L235" s="4">
        <v>1400000</v>
      </c>
      <c r="M235" s="4">
        <v>0</v>
      </c>
      <c r="N235" s="4">
        <v>0</v>
      </c>
      <c r="O235" s="4">
        <v>0</v>
      </c>
      <c r="P235" s="24">
        <v>0</v>
      </c>
      <c r="Q235" s="4">
        <v>0</v>
      </c>
      <c r="R235" s="4">
        <v>1400000</v>
      </c>
      <c r="S235" s="4">
        <v>0</v>
      </c>
      <c r="T235" s="4">
        <v>0</v>
      </c>
      <c r="U235" s="24">
        <v>0</v>
      </c>
      <c r="V235" s="4">
        <v>22610</v>
      </c>
      <c r="W235" s="11">
        <v>44651</v>
      </c>
      <c r="X235" s="2"/>
      <c r="Y235" s="5" t="s">
        <v>1034</v>
      </c>
      <c r="Z235" s="5" t="s">
        <v>1459</v>
      </c>
      <c r="AA235" s="5" t="s">
        <v>3</v>
      </c>
      <c r="AB235" s="16" t="s">
        <v>3</v>
      </c>
    </row>
    <row r="236" spans="2:28" x14ac:dyDescent="0.25">
      <c r="B236" s="18" t="s">
        <v>833</v>
      </c>
      <c r="C236" s="44" t="s">
        <v>538</v>
      </c>
      <c r="D236" s="20" t="s">
        <v>877</v>
      </c>
      <c r="E236" s="51" t="s">
        <v>3310</v>
      </c>
      <c r="F236" s="11">
        <v>44166</v>
      </c>
      <c r="G236" s="5" t="s">
        <v>1104</v>
      </c>
      <c r="H236" s="2"/>
      <c r="I236" s="4">
        <v>1252931</v>
      </c>
      <c r="J236" s="4">
        <v>1332279</v>
      </c>
      <c r="K236" s="4">
        <v>1403556</v>
      </c>
      <c r="L236" s="4">
        <v>1376640</v>
      </c>
      <c r="M236" s="4">
        <v>0</v>
      </c>
      <c r="N236" s="4">
        <v>-5914</v>
      </c>
      <c r="O236" s="4">
        <v>0</v>
      </c>
      <c r="P236" s="24">
        <v>-5914</v>
      </c>
      <c r="Q236" s="4">
        <v>0</v>
      </c>
      <c r="R236" s="4">
        <v>1370726</v>
      </c>
      <c r="S236" s="4">
        <v>0</v>
      </c>
      <c r="T236" s="4">
        <v>-117795</v>
      </c>
      <c r="U236" s="24">
        <v>-117795</v>
      </c>
      <c r="V236" s="4">
        <v>57528</v>
      </c>
      <c r="W236" s="11">
        <v>45792</v>
      </c>
      <c r="X236" s="2"/>
      <c r="Y236" s="5" t="s">
        <v>3</v>
      </c>
      <c r="Z236" s="5" t="s">
        <v>459</v>
      </c>
      <c r="AA236" s="5" t="s">
        <v>1970</v>
      </c>
      <c r="AB236" s="16" t="s">
        <v>3</v>
      </c>
    </row>
    <row r="237" spans="2:28" x14ac:dyDescent="0.25">
      <c r="B237" s="18" t="s">
        <v>2179</v>
      </c>
      <c r="C237" s="44" t="s">
        <v>538</v>
      </c>
      <c r="D237" s="20" t="s">
        <v>877</v>
      </c>
      <c r="E237" s="51" t="s">
        <v>3310</v>
      </c>
      <c r="F237" s="11">
        <v>44150</v>
      </c>
      <c r="G237" s="5" t="s">
        <v>2194</v>
      </c>
      <c r="H237" s="2"/>
      <c r="I237" s="4">
        <v>95389</v>
      </c>
      <c r="J237" s="4">
        <v>95389</v>
      </c>
      <c r="K237" s="4">
        <v>100492</v>
      </c>
      <c r="L237" s="4">
        <v>98565</v>
      </c>
      <c r="M237" s="4">
        <v>0</v>
      </c>
      <c r="N237" s="4">
        <v>-3176</v>
      </c>
      <c r="O237" s="4">
        <v>0</v>
      </c>
      <c r="P237" s="24">
        <v>-3176</v>
      </c>
      <c r="Q237" s="4">
        <v>0</v>
      </c>
      <c r="R237" s="4">
        <v>95389</v>
      </c>
      <c r="S237" s="4">
        <v>0</v>
      </c>
      <c r="T237" s="4">
        <v>0</v>
      </c>
      <c r="U237" s="24">
        <v>0</v>
      </c>
      <c r="V237" s="4">
        <v>2951</v>
      </c>
      <c r="W237" s="11">
        <v>45792</v>
      </c>
      <c r="X237" s="2"/>
      <c r="Y237" s="5" t="s">
        <v>3</v>
      </c>
      <c r="Z237" s="5" t="s">
        <v>459</v>
      </c>
      <c r="AA237" s="5" t="s">
        <v>1970</v>
      </c>
      <c r="AB237" s="16" t="s">
        <v>3</v>
      </c>
    </row>
    <row r="238" spans="2:28" x14ac:dyDescent="0.25">
      <c r="B238" s="18" t="s">
        <v>3269</v>
      </c>
      <c r="C238" s="44" t="s">
        <v>800</v>
      </c>
      <c r="D238" s="20" t="s">
        <v>2359</v>
      </c>
      <c r="E238" s="51" t="s">
        <v>3</v>
      </c>
      <c r="F238" s="11">
        <v>44027</v>
      </c>
      <c r="G238" s="5" t="s">
        <v>2194</v>
      </c>
      <c r="H238" s="2"/>
      <c r="I238" s="4">
        <v>153600</v>
      </c>
      <c r="J238" s="4">
        <v>153600</v>
      </c>
      <c r="K238" s="4">
        <v>153600</v>
      </c>
      <c r="L238" s="4">
        <v>153600</v>
      </c>
      <c r="M238" s="4">
        <v>0</v>
      </c>
      <c r="N238" s="4">
        <v>0</v>
      </c>
      <c r="O238" s="4">
        <v>0</v>
      </c>
      <c r="P238" s="24">
        <v>0</v>
      </c>
      <c r="Q238" s="4">
        <v>0</v>
      </c>
      <c r="R238" s="4">
        <v>153600</v>
      </c>
      <c r="S238" s="4">
        <v>0</v>
      </c>
      <c r="T238" s="4">
        <v>0</v>
      </c>
      <c r="U238" s="24">
        <v>0</v>
      </c>
      <c r="V238" s="4">
        <v>3802</v>
      </c>
      <c r="W238" s="11">
        <v>47498</v>
      </c>
      <c r="X238" s="2"/>
      <c r="Y238" s="5" t="s">
        <v>3</v>
      </c>
      <c r="Z238" s="5" t="s">
        <v>459</v>
      </c>
      <c r="AA238" s="5" t="s">
        <v>928</v>
      </c>
      <c r="AB238" s="16" t="s">
        <v>3</v>
      </c>
    </row>
    <row r="239" spans="2:28" x14ac:dyDescent="0.25">
      <c r="B239" s="18" t="s">
        <v>204</v>
      </c>
      <c r="C239" s="44" t="s">
        <v>1525</v>
      </c>
      <c r="D239" s="20" t="s">
        <v>2360</v>
      </c>
      <c r="E239" s="51" t="s">
        <v>3</v>
      </c>
      <c r="F239" s="11">
        <v>44089</v>
      </c>
      <c r="G239" s="5" t="s">
        <v>2194</v>
      </c>
      <c r="H239" s="2"/>
      <c r="I239" s="4">
        <v>144747</v>
      </c>
      <c r="J239" s="4">
        <v>144747</v>
      </c>
      <c r="K239" s="4">
        <v>146376</v>
      </c>
      <c r="L239" s="4">
        <v>145962</v>
      </c>
      <c r="M239" s="4">
        <v>0</v>
      </c>
      <c r="N239" s="4">
        <v>-1214</v>
      </c>
      <c r="O239" s="4">
        <v>0</v>
      </c>
      <c r="P239" s="24">
        <v>-1214</v>
      </c>
      <c r="Q239" s="4">
        <v>0</v>
      </c>
      <c r="R239" s="4">
        <v>144747</v>
      </c>
      <c r="S239" s="4">
        <v>0</v>
      </c>
      <c r="T239" s="4">
        <v>0</v>
      </c>
      <c r="U239" s="24">
        <v>0</v>
      </c>
      <c r="V239" s="4">
        <v>3908</v>
      </c>
      <c r="W239" s="11">
        <v>46461</v>
      </c>
      <c r="X239" s="2"/>
      <c r="Y239" s="5" t="s">
        <v>3</v>
      </c>
      <c r="Z239" s="5" t="s">
        <v>1086</v>
      </c>
      <c r="AA239" s="5" t="s">
        <v>2042</v>
      </c>
      <c r="AB239" s="16" t="s">
        <v>3</v>
      </c>
    </row>
    <row r="240" spans="2:28" x14ac:dyDescent="0.25">
      <c r="B240" s="18" t="s">
        <v>1311</v>
      </c>
      <c r="C240" s="44" t="s">
        <v>1526</v>
      </c>
      <c r="D240" s="20" t="s">
        <v>4103</v>
      </c>
      <c r="E240" s="51" t="s">
        <v>3</v>
      </c>
      <c r="F240" s="11">
        <v>44089</v>
      </c>
      <c r="G240" s="5" t="s">
        <v>2194</v>
      </c>
      <c r="H240" s="2"/>
      <c r="I240" s="4">
        <v>230604</v>
      </c>
      <c r="J240" s="4">
        <v>230604</v>
      </c>
      <c r="K240" s="4">
        <v>230604</v>
      </c>
      <c r="L240" s="4">
        <v>230604</v>
      </c>
      <c r="M240" s="4">
        <v>0</v>
      </c>
      <c r="N240" s="4">
        <v>0</v>
      </c>
      <c r="O240" s="4">
        <v>0</v>
      </c>
      <c r="P240" s="24">
        <v>0</v>
      </c>
      <c r="Q240" s="4">
        <v>0</v>
      </c>
      <c r="R240" s="4">
        <v>230604</v>
      </c>
      <c r="S240" s="4">
        <v>0</v>
      </c>
      <c r="T240" s="4">
        <v>0</v>
      </c>
      <c r="U240" s="24">
        <v>0</v>
      </c>
      <c r="V240" s="4">
        <v>6702</v>
      </c>
      <c r="W240" s="11">
        <v>45000</v>
      </c>
      <c r="X240" s="2"/>
      <c r="Y240" s="5" t="s">
        <v>3</v>
      </c>
      <c r="Z240" s="5" t="s">
        <v>168</v>
      </c>
      <c r="AA240" s="5" t="s">
        <v>2042</v>
      </c>
      <c r="AB240" s="16" t="s">
        <v>3</v>
      </c>
    </row>
    <row r="241" spans="2:28" x14ac:dyDescent="0.25">
      <c r="B241" s="18" t="s">
        <v>2390</v>
      </c>
      <c r="C241" s="44" t="s">
        <v>238</v>
      </c>
      <c r="D241" s="20" t="s">
        <v>703</v>
      </c>
      <c r="E241" s="51" t="s">
        <v>3</v>
      </c>
      <c r="F241" s="10">
        <v>44091</v>
      </c>
      <c r="G241" s="5" t="s">
        <v>2994</v>
      </c>
      <c r="H241" s="2"/>
      <c r="I241" s="4">
        <v>530000</v>
      </c>
      <c r="J241" s="4">
        <v>500000</v>
      </c>
      <c r="K241" s="4">
        <v>535785</v>
      </c>
      <c r="L241" s="4">
        <v>512039</v>
      </c>
      <c r="M241" s="4">
        <v>0</v>
      </c>
      <c r="N241" s="4">
        <v>-3849</v>
      </c>
      <c r="O241" s="4">
        <v>0</v>
      </c>
      <c r="P241" s="24">
        <v>-3849</v>
      </c>
      <c r="Q241" s="4">
        <v>0</v>
      </c>
      <c r="R241" s="4">
        <v>508190</v>
      </c>
      <c r="S241" s="4">
        <v>0</v>
      </c>
      <c r="T241" s="4">
        <v>21810</v>
      </c>
      <c r="U241" s="24">
        <v>21810</v>
      </c>
      <c r="V241" s="4">
        <v>27490</v>
      </c>
      <c r="W241" s="10">
        <v>44621</v>
      </c>
      <c r="X241" s="2"/>
      <c r="Y241" s="5" t="s">
        <v>1242</v>
      </c>
      <c r="Z241" s="5" t="s">
        <v>1040</v>
      </c>
      <c r="AA241" s="5" t="s">
        <v>389</v>
      </c>
      <c r="AB241" s="16" t="s">
        <v>3</v>
      </c>
    </row>
    <row r="242" spans="2:28" x14ac:dyDescent="0.25">
      <c r="B242" s="18" t="s">
        <v>3783</v>
      </c>
      <c r="C242" s="44" t="s">
        <v>238</v>
      </c>
      <c r="D242" s="20" t="s">
        <v>703</v>
      </c>
      <c r="E242" s="51" t="s">
        <v>3</v>
      </c>
      <c r="F242" s="10">
        <v>44131</v>
      </c>
      <c r="G242" s="5" t="s">
        <v>539</v>
      </c>
      <c r="H242" s="2"/>
      <c r="I242" s="4">
        <v>4777415</v>
      </c>
      <c r="J242" s="4">
        <v>4500000</v>
      </c>
      <c r="K242" s="4">
        <v>4822065</v>
      </c>
      <c r="L242" s="4">
        <v>4608351</v>
      </c>
      <c r="M242" s="4">
        <v>0</v>
      </c>
      <c r="N242" s="4">
        <v>-108350.88</v>
      </c>
      <c r="O242" s="4">
        <v>0</v>
      </c>
      <c r="P242" s="24">
        <v>-108350.88</v>
      </c>
      <c r="Q242" s="4">
        <v>0</v>
      </c>
      <c r="R242" s="4">
        <v>4777415</v>
      </c>
      <c r="S242" s="4">
        <v>0</v>
      </c>
      <c r="T242" s="4">
        <v>0</v>
      </c>
      <c r="U242" s="24">
        <v>0</v>
      </c>
      <c r="V242" s="4">
        <v>550414.88</v>
      </c>
      <c r="W242" s="10">
        <v>44621</v>
      </c>
      <c r="X242" s="2"/>
      <c r="Y242" s="5" t="s">
        <v>1242</v>
      </c>
      <c r="Z242" s="5" t="s">
        <v>1040</v>
      </c>
      <c r="AA242" s="5" t="s">
        <v>389</v>
      </c>
      <c r="AB242" s="16" t="s">
        <v>3</v>
      </c>
    </row>
    <row r="243" spans="2:28" x14ac:dyDescent="0.25">
      <c r="B243" s="18" t="s">
        <v>507</v>
      </c>
      <c r="C243" s="44" t="s">
        <v>3830</v>
      </c>
      <c r="D243" s="20" t="s">
        <v>3831</v>
      </c>
      <c r="E243" s="51" t="s">
        <v>3310</v>
      </c>
      <c r="F243" s="10">
        <v>44071</v>
      </c>
      <c r="G243" s="5" t="s">
        <v>848</v>
      </c>
      <c r="H243" s="2"/>
      <c r="I243" s="4">
        <v>5000000</v>
      </c>
      <c r="J243" s="4">
        <v>5000000</v>
      </c>
      <c r="K243" s="4">
        <v>5000000</v>
      </c>
      <c r="L243" s="4">
        <v>5000000</v>
      </c>
      <c r="M243" s="4">
        <v>0</v>
      </c>
      <c r="N243" s="4">
        <v>0</v>
      </c>
      <c r="O243" s="4">
        <v>0</v>
      </c>
      <c r="P243" s="24">
        <v>0</v>
      </c>
      <c r="Q243" s="4">
        <v>0</v>
      </c>
      <c r="R243" s="4">
        <v>5000000</v>
      </c>
      <c r="S243" s="4">
        <v>0</v>
      </c>
      <c r="T243" s="4">
        <v>0</v>
      </c>
      <c r="U243" s="24">
        <v>0</v>
      </c>
      <c r="V243" s="4">
        <v>157675</v>
      </c>
      <c r="W243" s="10">
        <v>44071</v>
      </c>
      <c r="X243" s="2"/>
      <c r="Y243" s="5" t="s">
        <v>3</v>
      </c>
      <c r="Z243" s="5" t="s">
        <v>3831</v>
      </c>
      <c r="AA243" s="5" t="s">
        <v>3</v>
      </c>
      <c r="AB243" s="16" t="s">
        <v>3</v>
      </c>
    </row>
    <row r="244" spans="2:28" x14ac:dyDescent="0.25">
      <c r="B244" s="18" t="s">
        <v>1583</v>
      </c>
      <c r="C244" s="44" t="s">
        <v>1615</v>
      </c>
      <c r="D244" s="20" t="s">
        <v>540</v>
      </c>
      <c r="E244" s="51" t="s">
        <v>2218</v>
      </c>
      <c r="F244" s="10">
        <v>44174</v>
      </c>
      <c r="G244" s="5" t="s">
        <v>848</v>
      </c>
      <c r="H244" s="2"/>
      <c r="I244" s="4">
        <v>6000000</v>
      </c>
      <c r="J244" s="4">
        <v>6000000</v>
      </c>
      <c r="K244" s="4">
        <v>5930820</v>
      </c>
      <c r="L244" s="4">
        <v>5992238</v>
      </c>
      <c r="M244" s="4">
        <v>0</v>
      </c>
      <c r="N244" s="4">
        <v>7762</v>
      </c>
      <c r="O244" s="4">
        <v>0</v>
      </c>
      <c r="P244" s="24">
        <v>7762</v>
      </c>
      <c r="Q244" s="4">
        <v>0</v>
      </c>
      <c r="R244" s="4">
        <v>6000000</v>
      </c>
      <c r="S244" s="4">
        <v>0</v>
      </c>
      <c r="T244" s="4">
        <v>0</v>
      </c>
      <c r="U244" s="24">
        <v>0</v>
      </c>
      <c r="V244" s="4">
        <v>240000</v>
      </c>
      <c r="W244" s="10">
        <v>44174</v>
      </c>
      <c r="X244" s="2"/>
      <c r="Y244" s="5" t="s">
        <v>239</v>
      </c>
      <c r="Z244" s="5" t="s">
        <v>1334</v>
      </c>
      <c r="AA244" s="5" t="s">
        <v>3</v>
      </c>
      <c r="AB244" s="16" t="s">
        <v>3</v>
      </c>
    </row>
    <row r="245" spans="2:28" x14ac:dyDescent="0.25">
      <c r="B245" s="18" t="s">
        <v>2668</v>
      </c>
      <c r="C245" s="44" t="s">
        <v>4381</v>
      </c>
      <c r="D245" s="20" t="s">
        <v>2625</v>
      </c>
      <c r="E245" s="51" t="s">
        <v>2218</v>
      </c>
      <c r="F245" s="10">
        <v>44180</v>
      </c>
      <c r="G245" s="5" t="s">
        <v>2686</v>
      </c>
      <c r="H245" s="2"/>
      <c r="I245" s="4">
        <v>625000</v>
      </c>
      <c r="J245" s="4">
        <v>625000</v>
      </c>
      <c r="K245" s="4">
        <v>608255</v>
      </c>
      <c r="L245" s="4">
        <v>610411</v>
      </c>
      <c r="M245" s="4">
        <v>0</v>
      </c>
      <c r="N245" s="4">
        <v>14589</v>
      </c>
      <c r="O245" s="4">
        <v>0</v>
      </c>
      <c r="P245" s="24">
        <v>14589</v>
      </c>
      <c r="Q245" s="4">
        <v>0</v>
      </c>
      <c r="R245" s="4">
        <v>625000</v>
      </c>
      <c r="S245" s="4">
        <v>0</v>
      </c>
      <c r="T245" s="4">
        <v>0</v>
      </c>
      <c r="U245" s="24">
        <v>0</v>
      </c>
      <c r="V245" s="4">
        <v>8420</v>
      </c>
      <c r="W245" s="10">
        <v>51850</v>
      </c>
      <c r="X245" s="2"/>
      <c r="Y245" s="5" t="s">
        <v>3</v>
      </c>
      <c r="Z245" s="5" t="s">
        <v>4104</v>
      </c>
      <c r="AA245" s="5" t="s">
        <v>928</v>
      </c>
      <c r="AB245" s="16" t="s">
        <v>3</v>
      </c>
    </row>
    <row r="246" spans="2:28" x14ac:dyDescent="0.25">
      <c r="B246" s="18" t="s">
        <v>3784</v>
      </c>
      <c r="C246" s="44" t="s">
        <v>1335</v>
      </c>
      <c r="D246" s="20" t="s">
        <v>2424</v>
      </c>
      <c r="E246" s="51" t="s">
        <v>1157</v>
      </c>
      <c r="F246" s="10">
        <v>44099</v>
      </c>
      <c r="G246" s="5" t="s">
        <v>2686</v>
      </c>
      <c r="H246" s="2"/>
      <c r="I246" s="4">
        <v>3750000</v>
      </c>
      <c r="J246" s="4">
        <v>3750000</v>
      </c>
      <c r="K246" s="4">
        <v>3749578</v>
      </c>
      <c r="L246" s="4">
        <v>3749606</v>
      </c>
      <c r="M246" s="4">
        <v>0</v>
      </c>
      <c r="N246" s="4">
        <v>394</v>
      </c>
      <c r="O246" s="4">
        <v>0</v>
      </c>
      <c r="P246" s="24">
        <v>394</v>
      </c>
      <c r="Q246" s="4">
        <v>0</v>
      </c>
      <c r="R246" s="4">
        <v>3750000</v>
      </c>
      <c r="S246" s="4">
        <v>0</v>
      </c>
      <c r="T246" s="4">
        <v>0</v>
      </c>
      <c r="U246" s="24">
        <v>0</v>
      </c>
      <c r="V246" s="4">
        <v>97288</v>
      </c>
      <c r="W246" s="10">
        <v>52042</v>
      </c>
      <c r="X246" s="2"/>
      <c r="Y246" s="5" t="s">
        <v>3</v>
      </c>
      <c r="Z246" s="5" t="s">
        <v>2704</v>
      </c>
      <c r="AA246" s="5" t="s">
        <v>928</v>
      </c>
      <c r="AB246" s="16" t="s">
        <v>3</v>
      </c>
    </row>
    <row r="247" spans="2:28" x14ac:dyDescent="0.25">
      <c r="B247" s="18" t="s">
        <v>508</v>
      </c>
      <c r="C247" s="44" t="s">
        <v>3520</v>
      </c>
      <c r="D247" s="20" t="s">
        <v>3298</v>
      </c>
      <c r="E247" s="51" t="s">
        <v>1157</v>
      </c>
      <c r="F247" s="10">
        <v>44100</v>
      </c>
      <c r="G247" s="5" t="s">
        <v>2686</v>
      </c>
      <c r="H247" s="2"/>
      <c r="I247" s="4">
        <v>7350000</v>
      </c>
      <c r="J247" s="4">
        <v>7350000</v>
      </c>
      <c r="K247" s="4">
        <v>7400804</v>
      </c>
      <c r="L247" s="4">
        <v>7396653</v>
      </c>
      <c r="M247" s="4">
        <v>0</v>
      </c>
      <c r="N247" s="4">
        <v>-46653</v>
      </c>
      <c r="O247" s="4">
        <v>0</v>
      </c>
      <c r="P247" s="24">
        <v>-46653</v>
      </c>
      <c r="Q247" s="4">
        <v>0</v>
      </c>
      <c r="R247" s="4">
        <v>7350000</v>
      </c>
      <c r="S247" s="4">
        <v>0</v>
      </c>
      <c r="T247" s="4">
        <v>0</v>
      </c>
      <c r="U247" s="24">
        <v>0</v>
      </c>
      <c r="V247" s="4">
        <v>209385</v>
      </c>
      <c r="W247" s="10">
        <v>52287</v>
      </c>
      <c r="X247" s="2"/>
      <c r="Y247" s="5" t="s">
        <v>3</v>
      </c>
      <c r="Z247" s="5" t="s">
        <v>541</v>
      </c>
      <c r="AA247" s="5" t="s">
        <v>928</v>
      </c>
      <c r="AB247" s="16" t="s">
        <v>3</v>
      </c>
    </row>
    <row r="248" spans="2:28" x14ac:dyDescent="0.25">
      <c r="B248" s="18" t="s">
        <v>1584</v>
      </c>
      <c r="C248" s="44" t="s">
        <v>2425</v>
      </c>
      <c r="D248" s="20" t="s">
        <v>3298</v>
      </c>
      <c r="E248" s="51" t="s">
        <v>2218</v>
      </c>
      <c r="F248" s="10">
        <v>44099</v>
      </c>
      <c r="G248" s="5" t="s">
        <v>2686</v>
      </c>
      <c r="H248" s="2"/>
      <c r="I248" s="4">
        <v>816667</v>
      </c>
      <c r="J248" s="4">
        <v>816667</v>
      </c>
      <c r="K248" s="4">
        <v>816607</v>
      </c>
      <c r="L248" s="4">
        <v>816601</v>
      </c>
      <c r="M248" s="4">
        <v>0</v>
      </c>
      <c r="N248" s="4">
        <v>66</v>
      </c>
      <c r="O248" s="4">
        <v>0</v>
      </c>
      <c r="P248" s="24">
        <v>66</v>
      </c>
      <c r="Q248" s="4">
        <v>0</v>
      </c>
      <c r="R248" s="4">
        <v>816667</v>
      </c>
      <c r="S248" s="4">
        <v>0</v>
      </c>
      <c r="T248" s="4">
        <v>0</v>
      </c>
      <c r="U248" s="24">
        <v>0</v>
      </c>
      <c r="V248" s="4">
        <v>28200</v>
      </c>
      <c r="W248" s="10">
        <v>52287</v>
      </c>
      <c r="X248" s="2"/>
      <c r="Y248" s="5" t="s">
        <v>3</v>
      </c>
      <c r="Z248" s="5" t="s">
        <v>541</v>
      </c>
      <c r="AA248" s="5" t="s">
        <v>928</v>
      </c>
      <c r="AB248" s="16" t="s">
        <v>3</v>
      </c>
    </row>
    <row r="249" spans="2:28" x14ac:dyDescent="0.25">
      <c r="B249" s="18" t="s">
        <v>3491</v>
      </c>
      <c r="C249" s="44" t="s">
        <v>4187</v>
      </c>
      <c r="D249" s="20" t="s">
        <v>4188</v>
      </c>
      <c r="E249" s="51" t="s">
        <v>1157</v>
      </c>
      <c r="F249" s="10">
        <v>44141</v>
      </c>
      <c r="G249" s="5" t="s">
        <v>542</v>
      </c>
      <c r="H249" s="2"/>
      <c r="I249" s="4">
        <v>9039804</v>
      </c>
      <c r="J249" s="4">
        <v>8000000</v>
      </c>
      <c r="K249" s="4">
        <v>8000000</v>
      </c>
      <c r="L249" s="4">
        <v>8000000</v>
      </c>
      <c r="M249" s="4">
        <v>0</v>
      </c>
      <c r="N249" s="4">
        <v>-0.24</v>
      </c>
      <c r="O249" s="4">
        <v>0</v>
      </c>
      <c r="P249" s="24">
        <v>-0.24</v>
      </c>
      <c r="Q249" s="4">
        <v>0</v>
      </c>
      <c r="R249" s="4">
        <v>9039804</v>
      </c>
      <c r="S249" s="4">
        <v>0</v>
      </c>
      <c r="T249" s="4">
        <v>0</v>
      </c>
      <c r="U249" s="24">
        <v>0</v>
      </c>
      <c r="V249" s="4">
        <v>1452017.24</v>
      </c>
      <c r="W249" s="10">
        <v>45671</v>
      </c>
      <c r="X249" s="2"/>
      <c r="Y249" s="5" t="s">
        <v>2206</v>
      </c>
      <c r="Z249" s="5" t="s">
        <v>3521</v>
      </c>
      <c r="AA249" s="5" t="s">
        <v>3</v>
      </c>
      <c r="AB249" s="16" t="s">
        <v>3</v>
      </c>
    </row>
    <row r="250" spans="2:28" x14ac:dyDescent="0.25">
      <c r="B250" s="18" t="s">
        <v>205</v>
      </c>
      <c r="C250" s="44" t="s">
        <v>2705</v>
      </c>
      <c r="D250" s="20" t="s">
        <v>2426</v>
      </c>
      <c r="E250" s="51" t="s">
        <v>2218</v>
      </c>
      <c r="F250" s="10">
        <v>44147</v>
      </c>
      <c r="G250" s="5" t="s">
        <v>1307</v>
      </c>
      <c r="H250" s="2"/>
      <c r="I250" s="4">
        <v>3665643</v>
      </c>
      <c r="J250" s="4">
        <v>4189306</v>
      </c>
      <c r="K250" s="4">
        <v>4042680</v>
      </c>
      <c r="L250" s="4">
        <v>4056723</v>
      </c>
      <c r="M250" s="4">
        <v>0</v>
      </c>
      <c r="N250" s="4">
        <v>12340</v>
      </c>
      <c r="O250" s="4">
        <v>0</v>
      </c>
      <c r="P250" s="24">
        <v>12340</v>
      </c>
      <c r="Q250" s="4">
        <v>0</v>
      </c>
      <c r="R250" s="4">
        <v>4069063</v>
      </c>
      <c r="S250" s="4">
        <v>0</v>
      </c>
      <c r="T250" s="4">
        <v>-403421</v>
      </c>
      <c r="U250" s="24">
        <v>-403421</v>
      </c>
      <c r="V250" s="4">
        <v>176440</v>
      </c>
      <c r="W250" s="10">
        <v>46706</v>
      </c>
      <c r="X250" s="2"/>
      <c r="Y250" s="5" t="s">
        <v>3</v>
      </c>
      <c r="Z250" s="5" t="s">
        <v>2426</v>
      </c>
      <c r="AA250" s="5" t="s">
        <v>3</v>
      </c>
      <c r="AB250" s="16" t="s">
        <v>3</v>
      </c>
    </row>
    <row r="251" spans="2:28" x14ac:dyDescent="0.25">
      <c r="B251" s="18" t="s">
        <v>1585</v>
      </c>
      <c r="C251" s="44" t="s">
        <v>2705</v>
      </c>
      <c r="D251" s="20" t="s">
        <v>2426</v>
      </c>
      <c r="E251" s="51" t="s">
        <v>2218</v>
      </c>
      <c r="F251" s="10">
        <v>43876</v>
      </c>
      <c r="G251" s="5" t="s">
        <v>2194</v>
      </c>
      <c r="H251" s="2"/>
      <c r="I251" s="4">
        <v>84938</v>
      </c>
      <c r="J251" s="4">
        <v>84938</v>
      </c>
      <c r="K251" s="4">
        <v>81965</v>
      </c>
      <c r="L251" s="4">
        <v>82250</v>
      </c>
      <c r="M251" s="4">
        <v>0</v>
      </c>
      <c r="N251" s="4">
        <v>2688</v>
      </c>
      <c r="O251" s="4">
        <v>0</v>
      </c>
      <c r="P251" s="24">
        <v>2688</v>
      </c>
      <c r="Q251" s="4">
        <v>0</v>
      </c>
      <c r="R251" s="4">
        <v>84938</v>
      </c>
      <c r="S251" s="4">
        <v>0</v>
      </c>
      <c r="T251" s="4">
        <v>0</v>
      </c>
      <c r="U251" s="24">
        <v>0</v>
      </c>
      <c r="V251" s="4">
        <v>892</v>
      </c>
      <c r="W251" s="10">
        <v>46706</v>
      </c>
      <c r="X251" s="2"/>
      <c r="Y251" s="5" t="s">
        <v>3</v>
      </c>
      <c r="Z251" s="5" t="s">
        <v>2426</v>
      </c>
      <c r="AA251" s="5" t="s">
        <v>3</v>
      </c>
      <c r="AB251" s="16" t="s">
        <v>3</v>
      </c>
    </row>
    <row r="252" spans="2:28" x14ac:dyDescent="0.25">
      <c r="B252" s="18" t="s">
        <v>2669</v>
      </c>
      <c r="C252" s="44" t="s">
        <v>240</v>
      </c>
      <c r="D252" s="20" t="s">
        <v>878</v>
      </c>
      <c r="E252" s="51" t="s">
        <v>1157</v>
      </c>
      <c r="F252" s="10">
        <v>44047</v>
      </c>
      <c r="G252" s="5" t="s">
        <v>1104</v>
      </c>
      <c r="H252" s="2"/>
      <c r="I252" s="4">
        <v>5025000</v>
      </c>
      <c r="J252" s="4">
        <v>5025000</v>
      </c>
      <c r="K252" s="4">
        <v>5153605</v>
      </c>
      <c r="L252" s="4">
        <v>5035496</v>
      </c>
      <c r="M252" s="4">
        <v>0</v>
      </c>
      <c r="N252" s="4">
        <v>-10496</v>
      </c>
      <c r="O252" s="4">
        <v>0</v>
      </c>
      <c r="P252" s="24">
        <v>-10496</v>
      </c>
      <c r="Q252" s="4">
        <v>0</v>
      </c>
      <c r="R252" s="4">
        <v>5025000</v>
      </c>
      <c r="S252" s="4">
        <v>0</v>
      </c>
      <c r="T252" s="4">
        <v>0</v>
      </c>
      <c r="U252" s="24">
        <v>0</v>
      </c>
      <c r="V252" s="4">
        <v>244969</v>
      </c>
      <c r="W252" s="10">
        <v>44047</v>
      </c>
      <c r="X252" s="2"/>
      <c r="Y252" s="5" t="s">
        <v>3</v>
      </c>
      <c r="Z252" s="5" t="s">
        <v>878</v>
      </c>
      <c r="AA252" s="5" t="s">
        <v>3</v>
      </c>
      <c r="AB252" s="16" t="s">
        <v>3</v>
      </c>
    </row>
    <row r="253" spans="2:28" x14ac:dyDescent="0.25">
      <c r="B253" s="18" t="s">
        <v>3785</v>
      </c>
      <c r="C253" s="44" t="s">
        <v>543</v>
      </c>
      <c r="D253" s="20" t="s">
        <v>1616</v>
      </c>
      <c r="E253" s="51" t="s">
        <v>1157</v>
      </c>
      <c r="F253" s="10">
        <v>44141</v>
      </c>
      <c r="G253" s="5" t="s">
        <v>3832</v>
      </c>
      <c r="H253" s="2"/>
      <c r="I253" s="4">
        <v>5661614</v>
      </c>
      <c r="J253" s="4">
        <v>5000000</v>
      </c>
      <c r="K253" s="4">
        <v>5000000</v>
      </c>
      <c r="L253" s="4">
        <v>5000000</v>
      </c>
      <c r="M253" s="4">
        <v>0</v>
      </c>
      <c r="N253" s="4">
        <v>-0.4</v>
      </c>
      <c r="O253" s="4">
        <v>0</v>
      </c>
      <c r="P253" s="24">
        <v>-0.4</v>
      </c>
      <c r="Q253" s="4">
        <v>0</v>
      </c>
      <c r="R253" s="4">
        <v>5661614</v>
      </c>
      <c r="S253" s="4">
        <v>0</v>
      </c>
      <c r="T253" s="4">
        <v>0</v>
      </c>
      <c r="U253" s="24">
        <v>0</v>
      </c>
      <c r="V253" s="4">
        <v>860010.4</v>
      </c>
      <c r="W253" s="10">
        <v>45458</v>
      </c>
      <c r="X253" s="2"/>
      <c r="Y253" s="5" t="s">
        <v>3</v>
      </c>
      <c r="Z253" s="5" t="s">
        <v>4431</v>
      </c>
      <c r="AA253" s="5" t="s">
        <v>3</v>
      </c>
      <c r="AB253" s="16" t="s">
        <v>3</v>
      </c>
    </row>
    <row r="254" spans="2:28" x14ac:dyDescent="0.25">
      <c r="B254" s="18" t="s">
        <v>509</v>
      </c>
      <c r="C254" s="44" t="s">
        <v>3522</v>
      </c>
      <c r="D254" s="20" t="s">
        <v>2572</v>
      </c>
      <c r="E254" s="51" t="s">
        <v>1157</v>
      </c>
      <c r="F254" s="10">
        <v>44180</v>
      </c>
      <c r="G254" s="5" t="s">
        <v>848</v>
      </c>
      <c r="H254" s="2"/>
      <c r="I254" s="4">
        <v>8000000</v>
      </c>
      <c r="J254" s="4">
        <v>8000000</v>
      </c>
      <c r="K254" s="4">
        <v>8000000</v>
      </c>
      <c r="L254" s="4">
        <v>8000000</v>
      </c>
      <c r="M254" s="4">
        <v>0</v>
      </c>
      <c r="N254" s="4">
        <v>0</v>
      </c>
      <c r="O254" s="4">
        <v>0</v>
      </c>
      <c r="P254" s="24">
        <v>0</v>
      </c>
      <c r="Q254" s="4">
        <v>0</v>
      </c>
      <c r="R254" s="4">
        <v>8000000</v>
      </c>
      <c r="S254" s="4">
        <v>0</v>
      </c>
      <c r="T254" s="4">
        <v>0</v>
      </c>
      <c r="U254" s="24">
        <v>0</v>
      </c>
      <c r="V254" s="4">
        <v>291200</v>
      </c>
      <c r="W254" s="10">
        <v>44180</v>
      </c>
      <c r="X254" s="2"/>
      <c r="Y254" s="5" t="s">
        <v>3</v>
      </c>
      <c r="Z254" s="5" t="s">
        <v>1253</v>
      </c>
      <c r="AA254" s="5" t="s">
        <v>1253</v>
      </c>
      <c r="AB254" s="16" t="s">
        <v>3</v>
      </c>
    </row>
    <row r="255" spans="2:28" x14ac:dyDescent="0.25">
      <c r="B255" s="18" t="s">
        <v>1587</v>
      </c>
      <c r="C255" s="44" t="s">
        <v>3216</v>
      </c>
      <c r="D255" s="20" t="s">
        <v>3679</v>
      </c>
      <c r="E255" s="51" t="s">
        <v>1157</v>
      </c>
      <c r="F255" s="10">
        <v>44116</v>
      </c>
      <c r="G255" s="5" t="s">
        <v>2194</v>
      </c>
      <c r="H255" s="2"/>
      <c r="I255" s="4">
        <v>421053</v>
      </c>
      <c r="J255" s="4">
        <v>421053</v>
      </c>
      <c r="K255" s="4">
        <v>421053</v>
      </c>
      <c r="L255" s="4">
        <v>421053</v>
      </c>
      <c r="M255" s="4">
        <v>0</v>
      </c>
      <c r="N255" s="4">
        <v>0</v>
      </c>
      <c r="O255" s="4">
        <v>0</v>
      </c>
      <c r="P255" s="24">
        <v>0</v>
      </c>
      <c r="Q255" s="4">
        <v>0</v>
      </c>
      <c r="R255" s="4">
        <v>421053</v>
      </c>
      <c r="S255" s="4">
        <v>0</v>
      </c>
      <c r="T255" s="4">
        <v>0</v>
      </c>
      <c r="U255" s="24">
        <v>0</v>
      </c>
      <c r="V255" s="4">
        <v>6316</v>
      </c>
      <c r="W255" s="10">
        <v>46307</v>
      </c>
      <c r="X255" s="2"/>
      <c r="Y255" s="5" t="s">
        <v>3</v>
      </c>
      <c r="Z255" s="5" t="s">
        <v>1059</v>
      </c>
      <c r="AA255" s="5" t="s">
        <v>3433</v>
      </c>
      <c r="AB255" s="16" t="s">
        <v>3</v>
      </c>
    </row>
    <row r="256" spans="2:28" x14ac:dyDescent="0.25">
      <c r="B256" s="18" t="s">
        <v>2670</v>
      </c>
      <c r="C256" s="44" t="s">
        <v>1848</v>
      </c>
      <c r="D256" s="20" t="s">
        <v>1971</v>
      </c>
      <c r="E256" s="51" t="s">
        <v>1157</v>
      </c>
      <c r="F256" s="10">
        <v>44180</v>
      </c>
      <c r="G256" s="5" t="s">
        <v>2194</v>
      </c>
      <c r="H256" s="2"/>
      <c r="I256" s="4">
        <v>1350000</v>
      </c>
      <c r="J256" s="4">
        <v>1350000</v>
      </c>
      <c r="K256" s="4">
        <v>1350000</v>
      </c>
      <c r="L256" s="4">
        <v>1350000</v>
      </c>
      <c r="M256" s="4">
        <v>0</v>
      </c>
      <c r="N256" s="4">
        <v>0</v>
      </c>
      <c r="O256" s="4">
        <v>0</v>
      </c>
      <c r="P256" s="24">
        <v>0</v>
      </c>
      <c r="Q256" s="4">
        <v>0</v>
      </c>
      <c r="R256" s="4">
        <v>1350000</v>
      </c>
      <c r="S256" s="4">
        <v>0</v>
      </c>
      <c r="T256" s="4">
        <v>0</v>
      </c>
      <c r="U256" s="24">
        <v>0</v>
      </c>
      <c r="V256" s="4">
        <v>35613</v>
      </c>
      <c r="W256" s="10">
        <v>44545</v>
      </c>
      <c r="X256" s="2"/>
      <c r="Y256" s="5" t="s">
        <v>3</v>
      </c>
      <c r="Z256" s="5" t="s">
        <v>4346</v>
      </c>
      <c r="AA256" s="5" t="s">
        <v>3</v>
      </c>
      <c r="AB256" s="16" t="s">
        <v>3</v>
      </c>
    </row>
    <row r="257" spans="2:28" x14ac:dyDescent="0.25">
      <c r="B257" s="7" t="s">
        <v>2713</v>
      </c>
      <c r="C257" s="1" t="s">
        <v>2713</v>
      </c>
      <c r="D257" s="8" t="s">
        <v>2713</v>
      </c>
      <c r="E257" s="1" t="s">
        <v>2713</v>
      </c>
      <c r="F257" s="1" t="s">
        <v>2713</v>
      </c>
      <c r="G257" s="1" t="s">
        <v>2713</v>
      </c>
      <c r="H257" s="1" t="s">
        <v>2713</v>
      </c>
      <c r="I257" s="1" t="s">
        <v>2713</v>
      </c>
      <c r="J257" s="1" t="s">
        <v>2713</v>
      </c>
      <c r="K257" s="1" t="s">
        <v>2713</v>
      </c>
      <c r="L257" s="1" t="s">
        <v>2713</v>
      </c>
      <c r="M257" s="1" t="s">
        <v>2713</v>
      </c>
      <c r="N257" s="1" t="s">
        <v>2713</v>
      </c>
      <c r="O257" s="1" t="s">
        <v>2713</v>
      </c>
      <c r="P257" s="1" t="s">
        <v>2713</v>
      </c>
      <c r="Q257" s="1" t="s">
        <v>2713</v>
      </c>
      <c r="R257" s="1" t="s">
        <v>2713</v>
      </c>
      <c r="S257" s="1" t="s">
        <v>2713</v>
      </c>
      <c r="T257" s="1" t="s">
        <v>2713</v>
      </c>
      <c r="U257" s="1" t="s">
        <v>2713</v>
      </c>
      <c r="V257" s="1" t="s">
        <v>2713</v>
      </c>
      <c r="W257" s="1" t="s">
        <v>2713</v>
      </c>
      <c r="X257" s="1" t="s">
        <v>2713</v>
      </c>
      <c r="Y257" s="1" t="s">
        <v>2713</v>
      </c>
      <c r="Z257" s="1" t="s">
        <v>2713</v>
      </c>
      <c r="AA257" s="1" t="s">
        <v>2713</v>
      </c>
      <c r="AB257" s="1" t="s">
        <v>2713</v>
      </c>
    </row>
    <row r="258" spans="2:28" ht="41.4" x14ac:dyDescent="0.25">
      <c r="B258" s="21" t="s">
        <v>1542</v>
      </c>
      <c r="C258" s="19" t="s">
        <v>519</v>
      </c>
      <c r="D258" s="17"/>
      <c r="E258" s="2"/>
      <c r="F258" s="2"/>
      <c r="G258" s="2"/>
      <c r="H258" s="2"/>
      <c r="I258" s="3">
        <f>SUM('GMIC_2020-Annu_SCDPT4'!SCDPT4_38BEGIN_7:'GMIC_2020-Annu_SCDPT4'!SCDPT4_38ENDIN_7)</f>
        <v>768652720</v>
      </c>
      <c r="J258" s="3">
        <f>SUM('GMIC_2020-Annu_SCDPT4'!SCDPT4_38BEGIN_8:'GMIC_2020-Annu_SCDPT4'!SCDPT4_38ENDIN_8)</f>
        <v>768351658</v>
      </c>
      <c r="K258" s="3">
        <f>SUM('GMIC_2020-Annu_SCDPT4'!SCDPT4_38BEGIN_9:'GMIC_2020-Annu_SCDPT4'!SCDPT4_38ENDIN_9)</f>
        <v>768364962</v>
      </c>
      <c r="L258" s="3">
        <f>SUM('GMIC_2020-Annu_SCDPT4'!SCDPT4_38BEGIN_10:'GMIC_2020-Annu_SCDPT4'!SCDPT4_38ENDIN_10)</f>
        <v>768833021</v>
      </c>
      <c r="M258" s="3">
        <f>SUM('GMIC_2020-Annu_SCDPT4'!SCDPT4_38BEGIN_11:'GMIC_2020-Annu_SCDPT4'!SCDPT4_38ENDIN_11)</f>
        <v>0</v>
      </c>
      <c r="N258" s="3">
        <f>SUM('GMIC_2020-Annu_SCDPT4'!SCDPT4_38BEGIN_12:'GMIC_2020-Annu_SCDPT4'!SCDPT4_38ENDIN_12)</f>
        <v>-521336.66000000003</v>
      </c>
      <c r="O258" s="3">
        <f>SUM('GMIC_2020-Annu_SCDPT4'!SCDPT4_38BEGIN_13:'GMIC_2020-Annu_SCDPT4'!SCDPT4_38ENDIN_13)</f>
        <v>1729603</v>
      </c>
      <c r="P258" s="3">
        <f>SUM('GMIC_2020-Annu_SCDPT4'!SCDPT4_38BEGIN_14:'GMIC_2020-Annu_SCDPT4'!SCDPT4_38ENDIN_14)</f>
        <v>-2250939.66</v>
      </c>
      <c r="Q258" s="3">
        <f>SUM('GMIC_2020-Annu_SCDPT4'!SCDPT4_38BEGIN_15:'GMIC_2020-Annu_SCDPT4'!SCDPT4_38ENDIN_15)</f>
        <v>0</v>
      </c>
      <c r="R258" s="3">
        <f>SUM('GMIC_2020-Annu_SCDPT4'!SCDPT4_38BEGIN_16:'GMIC_2020-Annu_SCDPT4'!SCDPT4_38ENDIN_16)</f>
        <v>771259563</v>
      </c>
      <c r="S258" s="3">
        <f>SUM('GMIC_2020-Annu_SCDPT4'!SCDPT4_38BEGIN_17:'GMIC_2020-Annu_SCDPT4'!SCDPT4_38ENDIN_17)</f>
        <v>0</v>
      </c>
      <c r="T258" s="3">
        <f>SUM('GMIC_2020-Annu_SCDPT4'!SCDPT4_38BEGIN_18:'GMIC_2020-Annu_SCDPT4'!SCDPT4_38ENDIN_18)</f>
        <v>-2606846</v>
      </c>
      <c r="U258" s="3">
        <f>SUM('GMIC_2020-Annu_SCDPT4'!SCDPT4_38BEGIN_19:'GMIC_2020-Annu_SCDPT4'!SCDPT4_38ENDIN_19)</f>
        <v>-2606846</v>
      </c>
      <c r="V258" s="3">
        <f>SUM('GMIC_2020-Annu_SCDPT4'!SCDPT4_38BEGIN_20:'GMIC_2020-Annu_SCDPT4'!SCDPT4_38ENDIN_20)</f>
        <v>20810713.099999998</v>
      </c>
      <c r="W258" s="2"/>
      <c r="X258" s="2"/>
      <c r="Y258" s="2"/>
      <c r="Z258" s="2"/>
      <c r="AA258" s="2"/>
      <c r="AB258" s="2"/>
    </row>
    <row r="259" spans="2:28" x14ac:dyDescent="0.25">
      <c r="B259" s="7" t="s">
        <v>2713</v>
      </c>
      <c r="C259" s="1" t="s">
        <v>2713</v>
      </c>
      <c r="D259" s="8" t="s">
        <v>2713</v>
      </c>
      <c r="E259" s="1" t="s">
        <v>2713</v>
      </c>
      <c r="F259" s="1" t="s">
        <v>2713</v>
      </c>
      <c r="G259" s="1" t="s">
        <v>2713</v>
      </c>
      <c r="H259" s="1" t="s">
        <v>2713</v>
      </c>
      <c r="I259" s="1" t="s">
        <v>2713</v>
      </c>
      <c r="J259" s="1" t="s">
        <v>2713</v>
      </c>
      <c r="K259" s="1" t="s">
        <v>2713</v>
      </c>
      <c r="L259" s="1" t="s">
        <v>2713</v>
      </c>
      <c r="M259" s="1" t="s">
        <v>2713</v>
      </c>
      <c r="N259" s="1" t="s">
        <v>2713</v>
      </c>
      <c r="O259" s="1" t="s">
        <v>2713</v>
      </c>
      <c r="P259" s="1" t="s">
        <v>2713</v>
      </c>
      <c r="Q259" s="1" t="s">
        <v>2713</v>
      </c>
      <c r="R259" s="1" t="s">
        <v>2713</v>
      </c>
      <c r="S259" s="1" t="s">
        <v>2713</v>
      </c>
      <c r="T259" s="1" t="s">
        <v>2713</v>
      </c>
      <c r="U259" s="1" t="s">
        <v>2713</v>
      </c>
      <c r="V259" s="1" t="s">
        <v>2713</v>
      </c>
      <c r="W259" s="1" t="s">
        <v>2713</v>
      </c>
      <c r="X259" s="1" t="s">
        <v>2713</v>
      </c>
      <c r="Y259" s="1" t="s">
        <v>2713</v>
      </c>
      <c r="Z259" s="1" t="s">
        <v>2713</v>
      </c>
      <c r="AA259" s="1" t="s">
        <v>2713</v>
      </c>
      <c r="AB259" s="1" t="s">
        <v>2713</v>
      </c>
    </row>
    <row r="260" spans="2:28" x14ac:dyDescent="0.25">
      <c r="B260" s="18" t="s">
        <v>3029</v>
      </c>
      <c r="C260" s="25" t="s">
        <v>3846</v>
      </c>
      <c r="D260" s="20" t="s">
        <v>3</v>
      </c>
      <c r="E260" s="22" t="s">
        <v>3</v>
      </c>
      <c r="F260" s="6"/>
      <c r="G260" s="5" t="s">
        <v>3</v>
      </c>
      <c r="H260" s="2"/>
      <c r="I260" s="4"/>
      <c r="J260" s="4"/>
      <c r="K260" s="4"/>
      <c r="L260" s="4"/>
      <c r="M260" s="4"/>
      <c r="N260" s="4"/>
      <c r="O260" s="4"/>
      <c r="P260" s="24"/>
      <c r="Q260" s="4"/>
      <c r="R260" s="4"/>
      <c r="S260" s="4"/>
      <c r="T260" s="4"/>
      <c r="U260" s="24"/>
      <c r="V260" s="4"/>
      <c r="W260" s="6"/>
      <c r="X260" s="2"/>
      <c r="Y260" s="5" t="s">
        <v>3</v>
      </c>
      <c r="Z260" s="5" t="s">
        <v>3</v>
      </c>
      <c r="AA260" s="5" t="s">
        <v>3</v>
      </c>
      <c r="AB260" s="16" t="s">
        <v>3</v>
      </c>
    </row>
    <row r="261" spans="2:28" x14ac:dyDescent="0.25">
      <c r="B261" s="7" t="s">
        <v>2713</v>
      </c>
      <c r="C261" s="1" t="s">
        <v>2713</v>
      </c>
      <c r="D261" s="8" t="s">
        <v>2713</v>
      </c>
      <c r="E261" s="1" t="s">
        <v>2713</v>
      </c>
      <c r="F261" s="1" t="s">
        <v>2713</v>
      </c>
      <c r="G261" s="1" t="s">
        <v>2713</v>
      </c>
      <c r="H261" s="1" t="s">
        <v>2713</v>
      </c>
      <c r="I261" s="1" t="s">
        <v>2713</v>
      </c>
      <c r="J261" s="1" t="s">
        <v>2713</v>
      </c>
      <c r="K261" s="1" t="s">
        <v>2713</v>
      </c>
      <c r="L261" s="1" t="s">
        <v>2713</v>
      </c>
      <c r="M261" s="1" t="s">
        <v>2713</v>
      </c>
      <c r="N261" s="1" t="s">
        <v>2713</v>
      </c>
      <c r="O261" s="1" t="s">
        <v>2713</v>
      </c>
      <c r="P261" s="1" t="s">
        <v>2713</v>
      </c>
      <c r="Q261" s="1" t="s">
        <v>2713</v>
      </c>
      <c r="R261" s="1" t="s">
        <v>2713</v>
      </c>
      <c r="S261" s="1" t="s">
        <v>2713</v>
      </c>
      <c r="T261" s="1" t="s">
        <v>2713</v>
      </c>
      <c r="U261" s="1" t="s">
        <v>2713</v>
      </c>
      <c r="V261" s="1" t="s">
        <v>2713</v>
      </c>
      <c r="W261" s="1" t="s">
        <v>2713</v>
      </c>
      <c r="X261" s="1" t="s">
        <v>2713</v>
      </c>
      <c r="Y261" s="1" t="s">
        <v>2713</v>
      </c>
      <c r="Z261" s="1" t="s">
        <v>2713</v>
      </c>
      <c r="AA261" s="1" t="s">
        <v>2713</v>
      </c>
      <c r="AB261" s="1" t="s">
        <v>2713</v>
      </c>
    </row>
    <row r="262" spans="2:28" ht="27.6" x14ac:dyDescent="0.25">
      <c r="B262" s="21" t="s">
        <v>4386</v>
      </c>
      <c r="C262" s="19" t="s">
        <v>520</v>
      </c>
      <c r="D262" s="17"/>
      <c r="E262" s="2"/>
      <c r="F262" s="2"/>
      <c r="G262" s="2"/>
      <c r="H262" s="2"/>
      <c r="I262" s="3">
        <f>SUM('GMIC_2020-Annu_SCDPT4'!SCDPT4_48BEGIN_7:'GMIC_2020-Annu_SCDPT4'!SCDPT4_48ENDIN_7)</f>
        <v>0</v>
      </c>
      <c r="J262" s="3">
        <f>SUM('GMIC_2020-Annu_SCDPT4'!SCDPT4_48BEGIN_8:'GMIC_2020-Annu_SCDPT4'!SCDPT4_48ENDIN_8)</f>
        <v>0</v>
      </c>
      <c r="K262" s="3">
        <f>SUM('GMIC_2020-Annu_SCDPT4'!SCDPT4_48BEGIN_9:'GMIC_2020-Annu_SCDPT4'!SCDPT4_48ENDIN_9)</f>
        <v>0</v>
      </c>
      <c r="L262" s="3">
        <f>SUM('GMIC_2020-Annu_SCDPT4'!SCDPT4_48BEGIN_10:'GMIC_2020-Annu_SCDPT4'!SCDPT4_48ENDIN_10)</f>
        <v>0</v>
      </c>
      <c r="M262" s="3">
        <f>SUM('GMIC_2020-Annu_SCDPT4'!SCDPT4_48BEGIN_11:'GMIC_2020-Annu_SCDPT4'!SCDPT4_48ENDIN_11)</f>
        <v>0</v>
      </c>
      <c r="N262" s="3">
        <f>SUM('GMIC_2020-Annu_SCDPT4'!SCDPT4_48BEGIN_12:'GMIC_2020-Annu_SCDPT4'!SCDPT4_48ENDIN_12)</f>
        <v>0</v>
      </c>
      <c r="O262" s="3">
        <f>SUM('GMIC_2020-Annu_SCDPT4'!SCDPT4_48BEGIN_13:'GMIC_2020-Annu_SCDPT4'!SCDPT4_48ENDIN_13)</f>
        <v>0</v>
      </c>
      <c r="P262" s="3">
        <f>SUM('GMIC_2020-Annu_SCDPT4'!SCDPT4_48BEGIN_14:'GMIC_2020-Annu_SCDPT4'!SCDPT4_48ENDIN_14)</f>
        <v>0</v>
      </c>
      <c r="Q262" s="3">
        <f>SUM('GMIC_2020-Annu_SCDPT4'!SCDPT4_48BEGIN_15:'GMIC_2020-Annu_SCDPT4'!SCDPT4_48ENDIN_15)</f>
        <v>0</v>
      </c>
      <c r="R262" s="3">
        <f>SUM('GMIC_2020-Annu_SCDPT4'!SCDPT4_48BEGIN_16:'GMIC_2020-Annu_SCDPT4'!SCDPT4_48ENDIN_16)</f>
        <v>0</v>
      </c>
      <c r="S262" s="3">
        <f>SUM('GMIC_2020-Annu_SCDPT4'!SCDPT4_48BEGIN_17:'GMIC_2020-Annu_SCDPT4'!SCDPT4_48ENDIN_17)</f>
        <v>0</v>
      </c>
      <c r="T262" s="3">
        <f>SUM('GMIC_2020-Annu_SCDPT4'!SCDPT4_48BEGIN_18:'GMIC_2020-Annu_SCDPT4'!SCDPT4_48ENDIN_18)</f>
        <v>0</v>
      </c>
      <c r="U262" s="3">
        <f>SUM('GMIC_2020-Annu_SCDPT4'!SCDPT4_48BEGIN_19:'GMIC_2020-Annu_SCDPT4'!SCDPT4_48ENDIN_19)</f>
        <v>0</v>
      </c>
      <c r="V262" s="3">
        <f>SUM('GMIC_2020-Annu_SCDPT4'!SCDPT4_48BEGIN_20:'GMIC_2020-Annu_SCDPT4'!SCDPT4_48ENDIN_20)</f>
        <v>0</v>
      </c>
      <c r="W262" s="2"/>
      <c r="X262" s="2"/>
      <c r="Y262" s="2"/>
      <c r="Z262" s="2"/>
      <c r="AA262" s="2"/>
      <c r="AB262" s="2"/>
    </row>
    <row r="263" spans="2:28" x14ac:dyDescent="0.25">
      <c r="B263" s="7" t="s">
        <v>2713</v>
      </c>
      <c r="C263" s="1" t="s">
        <v>2713</v>
      </c>
      <c r="D263" s="8" t="s">
        <v>2713</v>
      </c>
      <c r="E263" s="1" t="s">
        <v>2713</v>
      </c>
      <c r="F263" s="1" t="s">
        <v>2713</v>
      </c>
      <c r="G263" s="1" t="s">
        <v>2713</v>
      </c>
      <c r="H263" s="1" t="s">
        <v>2713</v>
      </c>
      <c r="I263" s="1" t="s">
        <v>2713</v>
      </c>
      <c r="J263" s="1" t="s">
        <v>2713</v>
      </c>
      <c r="K263" s="1" t="s">
        <v>2713</v>
      </c>
      <c r="L263" s="1" t="s">
        <v>2713</v>
      </c>
      <c r="M263" s="1" t="s">
        <v>2713</v>
      </c>
      <c r="N263" s="1" t="s">
        <v>2713</v>
      </c>
      <c r="O263" s="1" t="s">
        <v>2713</v>
      </c>
      <c r="P263" s="1" t="s">
        <v>2713</v>
      </c>
      <c r="Q263" s="1" t="s">
        <v>2713</v>
      </c>
      <c r="R263" s="1" t="s">
        <v>2713</v>
      </c>
      <c r="S263" s="1" t="s">
        <v>2713</v>
      </c>
      <c r="T263" s="1" t="s">
        <v>2713</v>
      </c>
      <c r="U263" s="1" t="s">
        <v>2713</v>
      </c>
      <c r="V263" s="1" t="s">
        <v>2713</v>
      </c>
      <c r="W263" s="1" t="s">
        <v>2713</v>
      </c>
      <c r="X263" s="1" t="s">
        <v>2713</v>
      </c>
      <c r="Y263" s="1" t="s">
        <v>2713</v>
      </c>
      <c r="Z263" s="1" t="s">
        <v>2713</v>
      </c>
      <c r="AA263" s="1" t="s">
        <v>2713</v>
      </c>
      <c r="AB263" s="1" t="s">
        <v>2713</v>
      </c>
    </row>
    <row r="264" spans="2:28" x14ac:dyDescent="0.25">
      <c r="B264" s="18" t="s">
        <v>3495</v>
      </c>
      <c r="C264" s="25" t="s">
        <v>3846</v>
      </c>
      <c r="D264" s="20" t="s">
        <v>3</v>
      </c>
      <c r="E264" s="22" t="s">
        <v>3</v>
      </c>
      <c r="F264" s="6"/>
      <c r="G264" s="5" t="s">
        <v>3</v>
      </c>
      <c r="H264" s="2"/>
      <c r="I264" s="4"/>
      <c r="J264" s="4"/>
      <c r="K264" s="4"/>
      <c r="L264" s="4"/>
      <c r="M264" s="4"/>
      <c r="N264" s="4"/>
      <c r="O264" s="4"/>
      <c r="P264" s="24"/>
      <c r="Q264" s="4"/>
      <c r="R264" s="4"/>
      <c r="S264" s="4"/>
      <c r="T264" s="4"/>
      <c r="U264" s="24"/>
      <c r="V264" s="4"/>
      <c r="W264" s="6"/>
      <c r="X264" s="2"/>
      <c r="Y264" s="5" t="s">
        <v>3</v>
      </c>
      <c r="Z264" s="5" t="s">
        <v>3</v>
      </c>
      <c r="AA264" s="5" t="s">
        <v>3</v>
      </c>
      <c r="AB264" s="16" t="s">
        <v>3</v>
      </c>
    </row>
    <row r="265" spans="2:28" x14ac:dyDescent="0.25">
      <c r="B265" s="7" t="s">
        <v>2713</v>
      </c>
      <c r="C265" s="1" t="s">
        <v>2713</v>
      </c>
      <c r="D265" s="8" t="s">
        <v>2713</v>
      </c>
      <c r="E265" s="1" t="s">
        <v>2713</v>
      </c>
      <c r="F265" s="1" t="s">
        <v>2713</v>
      </c>
      <c r="G265" s="1" t="s">
        <v>2713</v>
      </c>
      <c r="H265" s="1" t="s">
        <v>2713</v>
      </c>
      <c r="I265" s="1" t="s">
        <v>2713</v>
      </c>
      <c r="J265" s="1" t="s">
        <v>2713</v>
      </c>
      <c r="K265" s="1" t="s">
        <v>2713</v>
      </c>
      <c r="L265" s="1" t="s">
        <v>2713</v>
      </c>
      <c r="M265" s="1" t="s">
        <v>2713</v>
      </c>
      <c r="N265" s="1" t="s">
        <v>2713</v>
      </c>
      <c r="O265" s="1" t="s">
        <v>2713</v>
      </c>
      <c r="P265" s="1" t="s">
        <v>2713</v>
      </c>
      <c r="Q265" s="1" t="s">
        <v>2713</v>
      </c>
      <c r="R265" s="1" t="s">
        <v>2713</v>
      </c>
      <c r="S265" s="1" t="s">
        <v>2713</v>
      </c>
      <c r="T265" s="1" t="s">
        <v>2713</v>
      </c>
      <c r="U265" s="1" t="s">
        <v>2713</v>
      </c>
      <c r="V265" s="1" t="s">
        <v>2713</v>
      </c>
      <c r="W265" s="1" t="s">
        <v>2713</v>
      </c>
      <c r="X265" s="1" t="s">
        <v>2713</v>
      </c>
      <c r="Y265" s="1" t="s">
        <v>2713</v>
      </c>
      <c r="Z265" s="1" t="s">
        <v>2713</v>
      </c>
      <c r="AA265" s="1" t="s">
        <v>2713</v>
      </c>
      <c r="AB265" s="1" t="s">
        <v>2713</v>
      </c>
    </row>
    <row r="266" spans="2:28" ht="27.6" x14ac:dyDescent="0.25">
      <c r="B266" s="21" t="s">
        <v>470</v>
      </c>
      <c r="C266" s="19" t="s">
        <v>1110</v>
      </c>
      <c r="D266" s="17"/>
      <c r="E266" s="2"/>
      <c r="F266" s="2"/>
      <c r="G266" s="2"/>
      <c r="H266" s="2"/>
      <c r="I266" s="3">
        <f>SUM('GMIC_2020-Annu_SCDPT4'!SCDPT4_55BEGIN_7:'GMIC_2020-Annu_SCDPT4'!SCDPT4_55ENDIN_7)</f>
        <v>0</v>
      </c>
      <c r="J266" s="3">
        <f>SUM('GMIC_2020-Annu_SCDPT4'!SCDPT4_55BEGIN_8:'GMIC_2020-Annu_SCDPT4'!SCDPT4_55ENDIN_8)</f>
        <v>0</v>
      </c>
      <c r="K266" s="3">
        <f>SUM('GMIC_2020-Annu_SCDPT4'!SCDPT4_55BEGIN_9:'GMIC_2020-Annu_SCDPT4'!SCDPT4_55ENDIN_9)</f>
        <v>0</v>
      </c>
      <c r="L266" s="3">
        <f>SUM('GMIC_2020-Annu_SCDPT4'!SCDPT4_55BEGIN_10:'GMIC_2020-Annu_SCDPT4'!SCDPT4_55ENDIN_10)</f>
        <v>0</v>
      </c>
      <c r="M266" s="3">
        <f>SUM('GMIC_2020-Annu_SCDPT4'!SCDPT4_55BEGIN_11:'GMIC_2020-Annu_SCDPT4'!SCDPT4_55ENDIN_11)</f>
        <v>0</v>
      </c>
      <c r="N266" s="3">
        <f>SUM('GMIC_2020-Annu_SCDPT4'!SCDPT4_55BEGIN_12:'GMIC_2020-Annu_SCDPT4'!SCDPT4_55ENDIN_12)</f>
        <v>0</v>
      </c>
      <c r="O266" s="3">
        <f>SUM('GMIC_2020-Annu_SCDPT4'!SCDPT4_55BEGIN_13:'GMIC_2020-Annu_SCDPT4'!SCDPT4_55ENDIN_13)</f>
        <v>0</v>
      </c>
      <c r="P266" s="3">
        <f>SUM('GMIC_2020-Annu_SCDPT4'!SCDPT4_55BEGIN_14:'GMIC_2020-Annu_SCDPT4'!SCDPT4_55ENDIN_14)</f>
        <v>0</v>
      </c>
      <c r="Q266" s="3">
        <f>SUM('GMIC_2020-Annu_SCDPT4'!SCDPT4_55BEGIN_15:'GMIC_2020-Annu_SCDPT4'!SCDPT4_55ENDIN_15)</f>
        <v>0</v>
      </c>
      <c r="R266" s="3">
        <f>SUM('GMIC_2020-Annu_SCDPT4'!SCDPT4_55BEGIN_16:'GMIC_2020-Annu_SCDPT4'!SCDPT4_55ENDIN_16)</f>
        <v>0</v>
      </c>
      <c r="S266" s="3">
        <f>SUM('GMIC_2020-Annu_SCDPT4'!SCDPT4_55BEGIN_17:'GMIC_2020-Annu_SCDPT4'!SCDPT4_55ENDIN_17)</f>
        <v>0</v>
      </c>
      <c r="T266" s="3">
        <f>SUM('GMIC_2020-Annu_SCDPT4'!SCDPT4_55BEGIN_18:'GMIC_2020-Annu_SCDPT4'!SCDPT4_55ENDIN_18)</f>
        <v>0</v>
      </c>
      <c r="U266" s="3">
        <f>SUM('GMIC_2020-Annu_SCDPT4'!SCDPT4_55BEGIN_19:'GMIC_2020-Annu_SCDPT4'!SCDPT4_55ENDIN_19)</f>
        <v>0</v>
      </c>
      <c r="V266" s="3">
        <f>SUM('GMIC_2020-Annu_SCDPT4'!SCDPT4_55BEGIN_20:'GMIC_2020-Annu_SCDPT4'!SCDPT4_55ENDIN_20)</f>
        <v>0</v>
      </c>
      <c r="W266" s="2"/>
      <c r="X266" s="2"/>
      <c r="Y266" s="2"/>
      <c r="Z266" s="2"/>
      <c r="AA266" s="2"/>
      <c r="AB266" s="2"/>
    </row>
    <row r="267" spans="2:28" x14ac:dyDescent="0.25">
      <c r="B267" s="7" t="s">
        <v>2713</v>
      </c>
      <c r="C267" s="1" t="s">
        <v>2713</v>
      </c>
      <c r="D267" s="8" t="s">
        <v>2713</v>
      </c>
      <c r="E267" s="1" t="s">
        <v>2713</v>
      </c>
      <c r="F267" s="1" t="s">
        <v>2713</v>
      </c>
      <c r="G267" s="1" t="s">
        <v>2713</v>
      </c>
      <c r="H267" s="1" t="s">
        <v>2713</v>
      </c>
      <c r="I267" s="1" t="s">
        <v>2713</v>
      </c>
      <c r="J267" s="1" t="s">
        <v>2713</v>
      </c>
      <c r="K267" s="1" t="s">
        <v>2713</v>
      </c>
      <c r="L267" s="1" t="s">
        <v>2713</v>
      </c>
      <c r="M267" s="1" t="s">
        <v>2713</v>
      </c>
      <c r="N267" s="1" t="s">
        <v>2713</v>
      </c>
      <c r="O267" s="1" t="s">
        <v>2713</v>
      </c>
      <c r="P267" s="1" t="s">
        <v>2713</v>
      </c>
      <c r="Q267" s="1" t="s">
        <v>2713</v>
      </c>
      <c r="R267" s="1" t="s">
        <v>2713</v>
      </c>
      <c r="S267" s="1" t="s">
        <v>2713</v>
      </c>
      <c r="T267" s="1" t="s">
        <v>2713</v>
      </c>
      <c r="U267" s="1" t="s">
        <v>2713</v>
      </c>
      <c r="V267" s="1" t="s">
        <v>2713</v>
      </c>
      <c r="W267" s="1" t="s">
        <v>2713</v>
      </c>
      <c r="X267" s="1" t="s">
        <v>2713</v>
      </c>
      <c r="Y267" s="1" t="s">
        <v>2713</v>
      </c>
      <c r="Z267" s="1" t="s">
        <v>2713</v>
      </c>
      <c r="AA267" s="1" t="s">
        <v>2713</v>
      </c>
      <c r="AB267" s="1" t="s">
        <v>2713</v>
      </c>
    </row>
    <row r="268" spans="2:28" x14ac:dyDescent="0.25">
      <c r="B268" s="18" t="s">
        <v>2184</v>
      </c>
      <c r="C268" s="25" t="s">
        <v>3846</v>
      </c>
      <c r="D268" s="20" t="s">
        <v>3</v>
      </c>
      <c r="E268" s="22" t="s">
        <v>3</v>
      </c>
      <c r="F268" s="6"/>
      <c r="G268" s="5" t="s">
        <v>3</v>
      </c>
      <c r="H268" s="28"/>
      <c r="I268" s="4"/>
      <c r="J268" s="4"/>
      <c r="K268" s="4"/>
      <c r="L268" s="4"/>
      <c r="M268" s="4"/>
      <c r="N268" s="4"/>
      <c r="O268" s="4"/>
      <c r="P268" s="24"/>
      <c r="Q268" s="4"/>
      <c r="R268" s="4"/>
      <c r="S268" s="4"/>
      <c r="T268" s="4"/>
      <c r="U268" s="24"/>
      <c r="V268" s="4"/>
      <c r="W268" s="2"/>
      <c r="X268" s="2"/>
      <c r="Y268" s="5" t="s">
        <v>3</v>
      </c>
      <c r="Z268" s="5" t="s">
        <v>3</v>
      </c>
      <c r="AA268" s="5" t="s">
        <v>3</v>
      </c>
      <c r="AB268" s="16" t="s">
        <v>3</v>
      </c>
    </row>
    <row r="269" spans="2:28" x14ac:dyDescent="0.25">
      <c r="B269" s="7" t="s">
        <v>2713</v>
      </c>
      <c r="C269" s="1" t="s">
        <v>2713</v>
      </c>
      <c r="D269" s="8" t="s">
        <v>2713</v>
      </c>
      <c r="E269" s="1" t="s">
        <v>2713</v>
      </c>
      <c r="F269" s="1" t="s">
        <v>2713</v>
      </c>
      <c r="G269" s="1" t="s">
        <v>2713</v>
      </c>
      <c r="H269" s="1" t="s">
        <v>2713</v>
      </c>
      <c r="I269" s="1" t="s">
        <v>2713</v>
      </c>
      <c r="J269" s="1" t="s">
        <v>2713</v>
      </c>
      <c r="K269" s="1" t="s">
        <v>2713</v>
      </c>
      <c r="L269" s="1" t="s">
        <v>2713</v>
      </c>
      <c r="M269" s="1" t="s">
        <v>2713</v>
      </c>
      <c r="N269" s="1" t="s">
        <v>2713</v>
      </c>
      <c r="O269" s="1" t="s">
        <v>2713</v>
      </c>
      <c r="P269" s="1" t="s">
        <v>2713</v>
      </c>
      <c r="Q269" s="1" t="s">
        <v>2713</v>
      </c>
      <c r="R269" s="1" t="s">
        <v>2713</v>
      </c>
      <c r="S269" s="1" t="s">
        <v>2713</v>
      </c>
      <c r="T269" s="1" t="s">
        <v>2713</v>
      </c>
      <c r="U269" s="1" t="s">
        <v>2713</v>
      </c>
      <c r="V269" s="1" t="s">
        <v>2713</v>
      </c>
      <c r="W269" s="1" t="s">
        <v>2713</v>
      </c>
      <c r="X269" s="1" t="s">
        <v>2713</v>
      </c>
      <c r="Y269" s="1" t="s">
        <v>2713</v>
      </c>
      <c r="Z269" s="1" t="s">
        <v>2713</v>
      </c>
      <c r="AA269" s="1" t="s">
        <v>2713</v>
      </c>
      <c r="AB269" s="1" t="s">
        <v>2713</v>
      </c>
    </row>
    <row r="270" spans="2:28" ht="27.6" x14ac:dyDescent="0.25">
      <c r="B270" s="21" t="s">
        <v>3471</v>
      </c>
      <c r="C270" s="19" t="s">
        <v>3798</v>
      </c>
      <c r="D270" s="17"/>
      <c r="E270" s="2"/>
      <c r="F270" s="2"/>
      <c r="G270" s="2"/>
      <c r="H270" s="2"/>
      <c r="I270" s="3">
        <f>SUM('GMIC_2020-Annu_SCDPT4'!SCDPT4_80BEGIN_7:'GMIC_2020-Annu_SCDPT4'!SCDPT4_80ENDIN_7)</f>
        <v>0</v>
      </c>
      <c r="J270" s="3">
        <f>SUM('GMIC_2020-Annu_SCDPT4'!SCDPT4_80BEGIN_8:'GMIC_2020-Annu_SCDPT4'!SCDPT4_80ENDIN_8)</f>
        <v>0</v>
      </c>
      <c r="K270" s="3">
        <f>SUM('GMIC_2020-Annu_SCDPT4'!SCDPT4_80BEGIN_9:'GMIC_2020-Annu_SCDPT4'!SCDPT4_80ENDIN_9)</f>
        <v>0</v>
      </c>
      <c r="L270" s="3">
        <f>SUM('GMIC_2020-Annu_SCDPT4'!SCDPT4_80BEGIN_10:'GMIC_2020-Annu_SCDPT4'!SCDPT4_80ENDIN_10)</f>
        <v>0</v>
      </c>
      <c r="M270" s="3">
        <f>SUM('GMIC_2020-Annu_SCDPT4'!SCDPT4_80BEGIN_11:'GMIC_2020-Annu_SCDPT4'!SCDPT4_80ENDIN_11)</f>
        <v>0</v>
      </c>
      <c r="N270" s="3">
        <f>SUM('GMIC_2020-Annu_SCDPT4'!SCDPT4_80BEGIN_12:'GMIC_2020-Annu_SCDPT4'!SCDPT4_80ENDIN_12)</f>
        <v>0</v>
      </c>
      <c r="O270" s="3">
        <f>SUM('GMIC_2020-Annu_SCDPT4'!SCDPT4_80BEGIN_13:'GMIC_2020-Annu_SCDPT4'!SCDPT4_80ENDIN_13)</f>
        <v>0</v>
      </c>
      <c r="P270" s="3">
        <f>SUM('GMIC_2020-Annu_SCDPT4'!SCDPT4_80BEGIN_14:'GMIC_2020-Annu_SCDPT4'!SCDPT4_80ENDIN_14)</f>
        <v>0</v>
      </c>
      <c r="Q270" s="3">
        <f>SUM('GMIC_2020-Annu_SCDPT4'!SCDPT4_80BEGIN_15:'GMIC_2020-Annu_SCDPT4'!SCDPT4_80ENDIN_15)</f>
        <v>0</v>
      </c>
      <c r="R270" s="3">
        <f>SUM('GMIC_2020-Annu_SCDPT4'!SCDPT4_80BEGIN_16:'GMIC_2020-Annu_SCDPT4'!SCDPT4_80ENDIN_16)</f>
        <v>0</v>
      </c>
      <c r="S270" s="3">
        <f>SUM('GMIC_2020-Annu_SCDPT4'!SCDPT4_80BEGIN_17:'GMIC_2020-Annu_SCDPT4'!SCDPT4_80ENDIN_17)</f>
        <v>0</v>
      </c>
      <c r="T270" s="3">
        <f>SUM('GMIC_2020-Annu_SCDPT4'!SCDPT4_80BEGIN_18:'GMIC_2020-Annu_SCDPT4'!SCDPT4_80ENDIN_18)</f>
        <v>0</v>
      </c>
      <c r="U270" s="3">
        <f>SUM('GMIC_2020-Annu_SCDPT4'!SCDPT4_80BEGIN_19:'GMIC_2020-Annu_SCDPT4'!SCDPT4_80ENDIN_19)</f>
        <v>0</v>
      </c>
      <c r="V270" s="3">
        <f>SUM('GMIC_2020-Annu_SCDPT4'!SCDPT4_80BEGIN_20:'GMIC_2020-Annu_SCDPT4'!SCDPT4_80ENDIN_20)</f>
        <v>0</v>
      </c>
      <c r="W270" s="2"/>
      <c r="X270" s="2"/>
      <c r="Y270" s="2"/>
      <c r="Z270" s="2"/>
      <c r="AA270" s="2"/>
      <c r="AB270" s="2"/>
    </row>
    <row r="271" spans="2:28" x14ac:dyDescent="0.25">
      <c r="B271" s="7" t="s">
        <v>2713</v>
      </c>
      <c r="C271" s="1" t="s">
        <v>2713</v>
      </c>
      <c r="D271" s="8" t="s">
        <v>2713</v>
      </c>
      <c r="E271" s="1" t="s">
        <v>2713</v>
      </c>
      <c r="F271" s="1" t="s">
        <v>2713</v>
      </c>
      <c r="G271" s="1" t="s">
        <v>2713</v>
      </c>
      <c r="H271" s="1" t="s">
        <v>2713</v>
      </c>
      <c r="I271" s="1" t="s">
        <v>2713</v>
      </c>
      <c r="J271" s="1" t="s">
        <v>2713</v>
      </c>
      <c r="K271" s="1" t="s">
        <v>2713</v>
      </c>
      <c r="L271" s="1" t="s">
        <v>2713</v>
      </c>
      <c r="M271" s="1" t="s">
        <v>2713</v>
      </c>
      <c r="N271" s="1" t="s">
        <v>2713</v>
      </c>
      <c r="O271" s="1" t="s">
        <v>2713</v>
      </c>
      <c r="P271" s="1" t="s">
        <v>2713</v>
      </c>
      <c r="Q271" s="1" t="s">
        <v>2713</v>
      </c>
      <c r="R271" s="1" t="s">
        <v>2713</v>
      </c>
      <c r="S271" s="1" t="s">
        <v>2713</v>
      </c>
      <c r="T271" s="1" t="s">
        <v>2713</v>
      </c>
      <c r="U271" s="1" t="s">
        <v>2713</v>
      </c>
      <c r="V271" s="1" t="s">
        <v>2713</v>
      </c>
      <c r="W271" s="1" t="s">
        <v>2713</v>
      </c>
      <c r="X271" s="1" t="s">
        <v>2713</v>
      </c>
      <c r="Y271" s="1" t="s">
        <v>2713</v>
      </c>
      <c r="Z271" s="1" t="s">
        <v>2713</v>
      </c>
      <c r="AA271" s="1" t="s">
        <v>2713</v>
      </c>
      <c r="AB271" s="1" t="s">
        <v>2713</v>
      </c>
    </row>
    <row r="272" spans="2:28" x14ac:dyDescent="0.25">
      <c r="B272" s="18" t="s">
        <v>521</v>
      </c>
      <c r="C272" s="25" t="s">
        <v>3846</v>
      </c>
      <c r="D272" s="20" t="s">
        <v>3</v>
      </c>
      <c r="E272" s="22" t="s">
        <v>3</v>
      </c>
      <c r="F272" s="6"/>
      <c r="G272" s="5" t="s">
        <v>3</v>
      </c>
      <c r="H272" s="2"/>
      <c r="I272" s="4"/>
      <c r="J272" s="4"/>
      <c r="K272" s="4"/>
      <c r="L272" s="4"/>
      <c r="M272" s="4"/>
      <c r="N272" s="4"/>
      <c r="O272" s="4"/>
      <c r="P272" s="24"/>
      <c r="Q272" s="4"/>
      <c r="R272" s="4"/>
      <c r="S272" s="4"/>
      <c r="T272" s="4"/>
      <c r="U272" s="24"/>
      <c r="V272" s="4"/>
      <c r="W272" s="6"/>
      <c r="X272" s="2"/>
      <c r="Y272" s="5" t="s">
        <v>3</v>
      </c>
      <c r="Z272" s="5" t="s">
        <v>3</v>
      </c>
      <c r="AA272" s="5" t="s">
        <v>3</v>
      </c>
      <c r="AB272" s="16" t="s">
        <v>3</v>
      </c>
    </row>
    <row r="273" spans="2:28" x14ac:dyDescent="0.25">
      <c r="B273" s="7" t="s">
        <v>2713</v>
      </c>
      <c r="C273" s="1" t="s">
        <v>2713</v>
      </c>
      <c r="D273" s="8" t="s">
        <v>2713</v>
      </c>
      <c r="E273" s="1" t="s">
        <v>2713</v>
      </c>
      <c r="F273" s="1" t="s">
        <v>2713</v>
      </c>
      <c r="G273" s="1" t="s">
        <v>2713</v>
      </c>
      <c r="H273" s="1" t="s">
        <v>2713</v>
      </c>
      <c r="I273" s="1" t="s">
        <v>2713</v>
      </c>
      <c r="J273" s="1" t="s">
        <v>2713</v>
      </c>
      <c r="K273" s="1" t="s">
        <v>2713</v>
      </c>
      <c r="L273" s="1" t="s">
        <v>2713</v>
      </c>
      <c r="M273" s="1" t="s">
        <v>2713</v>
      </c>
      <c r="N273" s="1" t="s">
        <v>2713</v>
      </c>
      <c r="O273" s="1" t="s">
        <v>2713</v>
      </c>
      <c r="P273" s="1" t="s">
        <v>2713</v>
      </c>
      <c r="Q273" s="1" t="s">
        <v>2713</v>
      </c>
      <c r="R273" s="1" t="s">
        <v>2713</v>
      </c>
      <c r="S273" s="1" t="s">
        <v>2713</v>
      </c>
      <c r="T273" s="1" t="s">
        <v>2713</v>
      </c>
      <c r="U273" s="1" t="s">
        <v>2713</v>
      </c>
      <c r="V273" s="1" t="s">
        <v>2713</v>
      </c>
      <c r="W273" s="1" t="s">
        <v>2713</v>
      </c>
      <c r="X273" s="1" t="s">
        <v>2713</v>
      </c>
      <c r="Y273" s="1" t="s">
        <v>2713</v>
      </c>
      <c r="Z273" s="1" t="s">
        <v>2713</v>
      </c>
      <c r="AA273" s="1" t="s">
        <v>2713</v>
      </c>
      <c r="AB273" s="1" t="s">
        <v>2713</v>
      </c>
    </row>
    <row r="274" spans="2:28" ht="27.6" x14ac:dyDescent="0.25">
      <c r="B274" s="21" t="s">
        <v>1907</v>
      </c>
      <c r="C274" s="19" t="s">
        <v>1111</v>
      </c>
      <c r="D274" s="17"/>
      <c r="E274" s="2"/>
      <c r="F274" s="2"/>
      <c r="G274" s="2"/>
      <c r="H274" s="2"/>
      <c r="I274" s="3">
        <f>SUM('GMIC_2020-Annu_SCDPT4'!SCDPT4_82BEGIN_7:'GMIC_2020-Annu_SCDPT4'!SCDPT4_82ENDIN_7)</f>
        <v>0</v>
      </c>
      <c r="J274" s="3">
        <f>SUM('GMIC_2020-Annu_SCDPT4'!SCDPT4_82BEGIN_8:'GMIC_2020-Annu_SCDPT4'!SCDPT4_82ENDIN_8)</f>
        <v>0</v>
      </c>
      <c r="K274" s="3">
        <f>SUM('GMIC_2020-Annu_SCDPT4'!SCDPT4_82BEGIN_9:'GMIC_2020-Annu_SCDPT4'!SCDPT4_82ENDIN_9)</f>
        <v>0</v>
      </c>
      <c r="L274" s="3">
        <f>SUM('GMIC_2020-Annu_SCDPT4'!SCDPT4_82BEGIN_10:'GMIC_2020-Annu_SCDPT4'!SCDPT4_82ENDIN_10)</f>
        <v>0</v>
      </c>
      <c r="M274" s="3">
        <f>SUM('GMIC_2020-Annu_SCDPT4'!SCDPT4_82BEGIN_11:'GMIC_2020-Annu_SCDPT4'!SCDPT4_82ENDIN_11)</f>
        <v>0</v>
      </c>
      <c r="N274" s="3">
        <f>SUM('GMIC_2020-Annu_SCDPT4'!SCDPT4_82BEGIN_12:'GMIC_2020-Annu_SCDPT4'!SCDPT4_82ENDIN_12)</f>
        <v>0</v>
      </c>
      <c r="O274" s="3">
        <f>SUM('GMIC_2020-Annu_SCDPT4'!SCDPT4_82BEGIN_13:'GMIC_2020-Annu_SCDPT4'!SCDPT4_82ENDIN_13)</f>
        <v>0</v>
      </c>
      <c r="P274" s="3">
        <f>SUM('GMIC_2020-Annu_SCDPT4'!SCDPT4_82BEGIN_14:'GMIC_2020-Annu_SCDPT4'!SCDPT4_82ENDIN_14)</f>
        <v>0</v>
      </c>
      <c r="Q274" s="3">
        <f>SUM('GMIC_2020-Annu_SCDPT4'!SCDPT4_82BEGIN_15:'GMIC_2020-Annu_SCDPT4'!SCDPT4_82ENDIN_15)</f>
        <v>0</v>
      </c>
      <c r="R274" s="3">
        <f>SUM('GMIC_2020-Annu_SCDPT4'!SCDPT4_82BEGIN_16:'GMIC_2020-Annu_SCDPT4'!SCDPT4_82ENDIN_16)</f>
        <v>0</v>
      </c>
      <c r="S274" s="3">
        <f>SUM('GMIC_2020-Annu_SCDPT4'!SCDPT4_82BEGIN_17:'GMIC_2020-Annu_SCDPT4'!SCDPT4_82ENDIN_17)</f>
        <v>0</v>
      </c>
      <c r="T274" s="3">
        <f>SUM('GMIC_2020-Annu_SCDPT4'!SCDPT4_82BEGIN_18:'GMIC_2020-Annu_SCDPT4'!SCDPT4_82ENDIN_18)</f>
        <v>0</v>
      </c>
      <c r="U274" s="3">
        <f>SUM('GMIC_2020-Annu_SCDPT4'!SCDPT4_82BEGIN_19:'GMIC_2020-Annu_SCDPT4'!SCDPT4_82ENDIN_19)</f>
        <v>0</v>
      </c>
      <c r="V274" s="3">
        <f>SUM('GMIC_2020-Annu_SCDPT4'!SCDPT4_82BEGIN_20:'GMIC_2020-Annu_SCDPT4'!SCDPT4_82ENDIN_20)</f>
        <v>0</v>
      </c>
      <c r="W274" s="2"/>
      <c r="X274" s="2"/>
      <c r="Y274" s="2"/>
      <c r="Z274" s="2"/>
      <c r="AA274" s="2"/>
      <c r="AB274" s="2"/>
    </row>
    <row r="275" spans="2:28" x14ac:dyDescent="0.25">
      <c r="B275" s="21" t="s">
        <v>3272</v>
      </c>
      <c r="C275" s="19" t="s">
        <v>241</v>
      </c>
      <c r="D275" s="17"/>
      <c r="E275" s="2"/>
      <c r="F275" s="2"/>
      <c r="G275" s="2"/>
      <c r="H275" s="2"/>
      <c r="I275" s="3">
        <f>'GMIC_2020-Annu_SCDPT4'!SCDPT4_0599999_7+'GMIC_2020-Annu_SCDPT4'!SCDPT4_1099999_7+'GMIC_2020-Annu_SCDPT4'!SCDPT4_1799999_7+'GMIC_2020-Annu_SCDPT4'!SCDPT4_2499999_7+'GMIC_2020-Annu_SCDPT4'!SCDPT4_3199999_7+'GMIC_2020-Annu_SCDPT4'!SCDPT4_3899999_7+'GMIC_2020-Annu_SCDPT4'!SCDPT4_4899999_7+'GMIC_2020-Annu_SCDPT4'!SCDPT4_5599999_7+'GMIC_2020-Annu_SCDPT4'!SCDPT4_8099999_7+'GMIC_2020-Annu_SCDPT4'!SCDPT4_8299999_7</f>
        <v>796135566</v>
      </c>
      <c r="J275" s="3">
        <f>'GMIC_2020-Annu_SCDPT4'!SCDPT4_0599999_8+'GMIC_2020-Annu_SCDPT4'!SCDPT4_1099999_8+'GMIC_2020-Annu_SCDPT4'!SCDPT4_1799999_8+'GMIC_2020-Annu_SCDPT4'!SCDPT4_2499999_8+'GMIC_2020-Annu_SCDPT4'!SCDPT4_3199999_8+'GMIC_2020-Annu_SCDPT4'!SCDPT4_3899999_8+'GMIC_2020-Annu_SCDPT4'!SCDPT4_4899999_8+'GMIC_2020-Annu_SCDPT4'!SCDPT4_5599999_8+'GMIC_2020-Annu_SCDPT4'!SCDPT4_8099999_8+'GMIC_2020-Annu_SCDPT4'!SCDPT4_8299999_8</f>
        <v>795794658</v>
      </c>
      <c r="K275" s="3">
        <f>'GMIC_2020-Annu_SCDPT4'!SCDPT4_0599999_9+'GMIC_2020-Annu_SCDPT4'!SCDPT4_1099999_9+'GMIC_2020-Annu_SCDPT4'!SCDPT4_1799999_9+'GMIC_2020-Annu_SCDPT4'!SCDPT4_2499999_9+'GMIC_2020-Annu_SCDPT4'!SCDPT4_3199999_9+'GMIC_2020-Annu_SCDPT4'!SCDPT4_3899999_9+'GMIC_2020-Annu_SCDPT4'!SCDPT4_4899999_9+'GMIC_2020-Annu_SCDPT4'!SCDPT4_5599999_9+'GMIC_2020-Annu_SCDPT4'!SCDPT4_8099999_9+'GMIC_2020-Annu_SCDPT4'!SCDPT4_8299999_9</f>
        <v>794657919</v>
      </c>
      <c r="L275" s="3">
        <f>'GMIC_2020-Annu_SCDPT4'!SCDPT4_0599999_10+'GMIC_2020-Annu_SCDPT4'!SCDPT4_1099999_10+'GMIC_2020-Annu_SCDPT4'!SCDPT4_1799999_10+'GMIC_2020-Annu_SCDPT4'!SCDPT4_2499999_10+'GMIC_2020-Annu_SCDPT4'!SCDPT4_3199999_10+'GMIC_2020-Annu_SCDPT4'!SCDPT4_3899999_10+'GMIC_2020-Annu_SCDPT4'!SCDPT4_4899999_10+'GMIC_2020-Annu_SCDPT4'!SCDPT4_5599999_10+'GMIC_2020-Annu_SCDPT4'!SCDPT4_8099999_10+'GMIC_2020-Annu_SCDPT4'!SCDPT4_8299999_10</f>
        <v>795312688</v>
      </c>
      <c r="M275" s="3">
        <f>'GMIC_2020-Annu_SCDPT4'!SCDPT4_0599999_11+'GMIC_2020-Annu_SCDPT4'!SCDPT4_1099999_11+'GMIC_2020-Annu_SCDPT4'!SCDPT4_1799999_11+'GMIC_2020-Annu_SCDPT4'!SCDPT4_2499999_11+'GMIC_2020-Annu_SCDPT4'!SCDPT4_3199999_11+'GMIC_2020-Annu_SCDPT4'!SCDPT4_3899999_11+'GMIC_2020-Annu_SCDPT4'!SCDPT4_4899999_11+'GMIC_2020-Annu_SCDPT4'!SCDPT4_5599999_11+'GMIC_2020-Annu_SCDPT4'!SCDPT4_8099999_11+'GMIC_2020-Annu_SCDPT4'!SCDPT4_8299999_11</f>
        <v>0</v>
      </c>
      <c r="N275" s="3">
        <f>'GMIC_2020-Annu_SCDPT4'!SCDPT4_0599999_12+'GMIC_2020-Annu_SCDPT4'!SCDPT4_1099999_12+'GMIC_2020-Annu_SCDPT4'!SCDPT4_1799999_12+'GMIC_2020-Annu_SCDPT4'!SCDPT4_2499999_12+'GMIC_2020-Annu_SCDPT4'!SCDPT4_3199999_12+'GMIC_2020-Annu_SCDPT4'!SCDPT4_3899999_12+'GMIC_2020-Annu_SCDPT4'!SCDPT4_4899999_12+'GMIC_2020-Annu_SCDPT4'!SCDPT4_5599999_12+'GMIC_2020-Annu_SCDPT4'!SCDPT4_8099999_12+'GMIC_2020-Annu_SCDPT4'!SCDPT4_8299999_12</f>
        <v>-462144.66000000003</v>
      </c>
      <c r="O275" s="3">
        <f>'GMIC_2020-Annu_SCDPT4'!SCDPT4_0599999_13+'GMIC_2020-Annu_SCDPT4'!SCDPT4_1099999_13+'GMIC_2020-Annu_SCDPT4'!SCDPT4_1799999_13+'GMIC_2020-Annu_SCDPT4'!SCDPT4_2499999_13+'GMIC_2020-Annu_SCDPT4'!SCDPT4_3199999_13+'GMIC_2020-Annu_SCDPT4'!SCDPT4_3899999_13+'GMIC_2020-Annu_SCDPT4'!SCDPT4_4899999_13+'GMIC_2020-Annu_SCDPT4'!SCDPT4_5599999_13+'GMIC_2020-Annu_SCDPT4'!SCDPT4_8099999_13+'GMIC_2020-Annu_SCDPT4'!SCDPT4_8299999_13</f>
        <v>1729603</v>
      </c>
      <c r="P275" s="3">
        <f>'GMIC_2020-Annu_SCDPT4'!SCDPT4_0599999_14+'GMIC_2020-Annu_SCDPT4'!SCDPT4_1099999_14+'GMIC_2020-Annu_SCDPT4'!SCDPT4_1799999_14+'GMIC_2020-Annu_SCDPT4'!SCDPT4_2499999_14+'GMIC_2020-Annu_SCDPT4'!SCDPT4_3199999_14+'GMIC_2020-Annu_SCDPT4'!SCDPT4_3899999_14+'GMIC_2020-Annu_SCDPT4'!SCDPT4_4899999_14+'GMIC_2020-Annu_SCDPT4'!SCDPT4_5599999_14+'GMIC_2020-Annu_SCDPT4'!SCDPT4_8099999_14+'GMIC_2020-Annu_SCDPT4'!SCDPT4_8299999_14</f>
        <v>-2191747.66</v>
      </c>
      <c r="Q275" s="3">
        <f>'GMIC_2020-Annu_SCDPT4'!SCDPT4_0599999_15+'GMIC_2020-Annu_SCDPT4'!SCDPT4_1099999_15+'GMIC_2020-Annu_SCDPT4'!SCDPT4_1799999_15+'GMIC_2020-Annu_SCDPT4'!SCDPT4_2499999_15+'GMIC_2020-Annu_SCDPT4'!SCDPT4_3199999_15+'GMIC_2020-Annu_SCDPT4'!SCDPT4_3899999_15+'GMIC_2020-Annu_SCDPT4'!SCDPT4_4899999_15+'GMIC_2020-Annu_SCDPT4'!SCDPT4_5599999_15+'GMIC_2020-Annu_SCDPT4'!SCDPT4_8099999_15+'GMIC_2020-Annu_SCDPT4'!SCDPT4_8299999_15</f>
        <v>0</v>
      </c>
      <c r="R275" s="3">
        <f>'GMIC_2020-Annu_SCDPT4'!SCDPT4_0599999_16+'GMIC_2020-Annu_SCDPT4'!SCDPT4_1099999_16+'GMIC_2020-Annu_SCDPT4'!SCDPT4_1799999_16+'GMIC_2020-Annu_SCDPT4'!SCDPT4_2499999_16+'GMIC_2020-Annu_SCDPT4'!SCDPT4_3199999_16+'GMIC_2020-Annu_SCDPT4'!SCDPT4_3899999_16+'GMIC_2020-Annu_SCDPT4'!SCDPT4_4899999_16+'GMIC_2020-Annu_SCDPT4'!SCDPT4_5599999_16+'GMIC_2020-Annu_SCDPT4'!SCDPT4_8099999_16+'GMIC_2020-Annu_SCDPT4'!SCDPT4_8299999_16</f>
        <v>797798422</v>
      </c>
      <c r="S275" s="3">
        <f>'GMIC_2020-Annu_SCDPT4'!SCDPT4_0599999_17+'GMIC_2020-Annu_SCDPT4'!SCDPT4_1099999_17+'GMIC_2020-Annu_SCDPT4'!SCDPT4_1799999_17+'GMIC_2020-Annu_SCDPT4'!SCDPT4_2499999_17+'GMIC_2020-Annu_SCDPT4'!SCDPT4_3199999_17+'GMIC_2020-Annu_SCDPT4'!SCDPT4_3899999_17+'GMIC_2020-Annu_SCDPT4'!SCDPT4_4899999_17+'GMIC_2020-Annu_SCDPT4'!SCDPT4_5599999_17+'GMIC_2020-Annu_SCDPT4'!SCDPT4_8099999_17+'GMIC_2020-Annu_SCDPT4'!SCDPT4_8299999_17</f>
        <v>0</v>
      </c>
      <c r="T275" s="3">
        <f>'GMIC_2020-Annu_SCDPT4'!SCDPT4_0599999_18+'GMIC_2020-Annu_SCDPT4'!SCDPT4_1099999_18+'GMIC_2020-Annu_SCDPT4'!SCDPT4_1799999_18+'GMIC_2020-Annu_SCDPT4'!SCDPT4_2499999_18+'GMIC_2020-Annu_SCDPT4'!SCDPT4_3199999_18+'GMIC_2020-Annu_SCDPT4'!SCDPT4_3899999_18+'GMIC_2020-Annu_SCDPT4'!SCDPT4_4899999_18+'GMIC_2020-Annu_SCDPT4'!SCDPT4_5599999_18+'GMIC_2020-Annu_SCDPT4'!SCDPT4_8099999_18+'GMIC_2020-Annu_SCDPT4'!SCDPT4_8299999_18</f>
        <v>-1662858</v>
      </c>
      <c r="U275" s="3">
        <f>'GMIC_2020-Annu_SCDPT4'!SCDPT4_0599999_19+'GMIC_2020-Annu_SCDPT4'!SCDPT4_1099999_19+'GMIC_2020-Annu_SCDPT4'!SCDPT4_1799999_19+'GMIC_2020-Annu_SCDPT4'!SCDPT4_2499999_19+'GMIC_2020-Annu_SCDPT4'!SCDPT4_3199999_19+'GMIC_2020-Annu_SCDPT4'!SCDPT4_3899999_19+'GMIC_2020-Annu_SCDPT4'!SCDPT4_4899999_19+'GMIC_2020-Annu_SCDPT4'!SCDPT4_5599999_19+'GMIC_2020-Annu_SCDPT4'!SCDPT4_8099999_19+'GMIC_2020-Annu_SCDPT4'!SCDPT4_8299999_19</f>
        <v>-1662858</v>
      </c>
      <c r="V275" s="3">
        <f>'GMIC_2020-Annu_SCDPT4'!SCDPT4_0599999_20+'GMIC_2020-Annu_SCDPT4'!SCDPT4_1099999_20+'GMIC_2020-Annu_SCDPT4'!SCDPT4_1799999_20+'GMIC_2020-Annu_SCDPT4'!SCDPT4_2499999_20+'GMIC_2020-Annu_SCDPT4'!SCDPT4_3199999_20+'GMIC_2020-Annu_SCDPT4'!SCDPT4_3899999_20+'GMIC_2020-Annu_SCDPT4'!SCDPT4_4899999_20+'GMIC_2020-Annu_SCDPT4'!SCDPT4_5599999_20+'GMIC_2020-Annu_SCDPT4'!SCDPT4_8099999_20+'GMIC_2020-Annu_SCDPT4'!SCDPT4_8299999_20</f>
        <v>21473475.099999998</v>
      </c>
      <c r="W275" s="2"/>
      <c r="X275" s="2"/>
      <c r="Y275" s="2"/>
      <c r="Z275" s="2"/>
      <c r="AA275" s="2"/>
      <c r="AB275" s="2"/>
    </row>
    <row r="276" spans="2:28" x14ac:dyDescent="0.25">
      <c r="B276" s="21" t="s">
        <v>206</v>
      </c>
      <c r="C276" s="19" t="s">
        <v>1312</v>
      </c>
      <c r="D276" s="17"/>
      <c r="E276" s="2"/>
      <c r="F276" s="2"/>
      <c r="G276" s="2"/>
      <c r="H276" s="2"/>
      <c r="I276" s="30">
        <v>88175634</v>
      </c>
      <c r="J276" s="30">
        <v>87462775.170000002</v>
      </c>
      <c r="K276" s="30">
        <v>87971786</v>
      </c>
      <c r="L276" s="4"/>
      <c r="M276" s="30">
        <v>0</v>
      </c>
      <c r="N276" s="30">
        <v>-207345.8</v>
      </c>
      <c r="O276" s="30">
        <v>0</v>
      </c>
      <c r="P276" s="30">
        <v>-207345.8</v>
      </c>
      <c r="Q276" s="30">
        <v>0</v>
      </c>
      <c r="R276" s="30">
        <v>88218772</v>
      </c>
      <c r="S276" s="30">
        <v>0</v>
      </c>
      <c r="T276" s="30">
        <v>-43138</v>
      </c>
      <c r="U276" s="30">
        <v>-43138</v>
      </c>
      <c r="V276" s="30">
        <v>1516803.8</v>
      </c>
      <c r="W276" s="2"/>
      <c r="X276" s="2"/>
      <c r="Y276" s="2"/>
      <c r="Z276" s="2"/>
      <c r="AA276" s="2"/>
      <c r="AB276" s="2"/>
    </row>
    <row r="277" spans="2:28" x14ac:dyDescent="0.25">
      <c r="B277" s="21" t="s">
        <v>1289</v>
      </c>
      <c r="C277" s="19" t="s">
        <v>2393</v>
      </c>
      <c r="D277" s="17"/>
      <c r="E277" s="2"/>
      <c r="F277" s="2"/>
      <c r="G277" s="2"/>
      <c r="H277" s="2"/>
      <c r="I277" s="3">
        <f>'GMIC_2020-Annu_SCDPT4'!SCDPT4_8399997_7+'GMIC_2020-Annu_SCDPT4'!SCDPT4_8399998_7</f>
        <v>884311200</v>
      </c>
      <c r="J277" s="3">
        <f>'GMIC_2020-Annu_SCDPT4'!SCDPT4_8399997_8+'GMIC_2020-Annu_SCDPT4'!SCDPT4_8399998_8</f>
        <v>883257433.16999996</v>
      </c>
      <c r="K277" s="3">
        <f>'GMIC_2020-Annu_SCDPT4'!SCDPT4_8399997_9+'GMIC_2020-Annu_SCDPT4'!SCDPT4_8399998_9</f>
        <v>882629705</v>
      </c>
      <c r="L277" s="3">
        <f>'GMIC_2020-Annu_SCDPT4'!SCDPT4_8399997_10+'GMIC_2020-Annu_SCDPT4'!SCDPT4_8399998_10</f>
        <v>795312688</v>
      </c>
      <c r="M277" s="3">
        <f>'GMIC_2020-Annu_SCDPT4'!SCDPT4_8399997_11+'GMIC_2020-Annu_SCDPT4'!SCDPT4_8399998_11</f>
        <v>0</v>
      </c>
      <c r="N277" s="3">
        <f>'GMIC_2020-Annu_SCDPT4'!SCDPT4_8399997_12+'GMIC_2020-Annu_SCDPT4'!SCDPT4_8399998_12</f>
        <v>-669490.46</v>
      </c>
      <c r="O277" s="3">
        <f>'GMIC_2020-Annu_SCDPT4'!SCDPT4_8399997_13+'GMIC_2020-Annu_SCDPT4'!SCDPT4_8399998_13</f>
        <v>1729603</v>
      </c>
      <c r="P277" s="3">
        <f>'GMIC_2020-Annu_SCDPT4'!SCDPT4_8399997_14+'GMIC_2020-Annu_SCDPT4'!SCDPT4_8399998_14</f>
        <v>-2399093.46</v>
      </c>
      <c r="Q277" s="3">
        <f>'GMIC_2020-Annu_SCDPT4'!SCDPT4_8399997_15+'GMIC_2020-Annu_SCDPT4'!SCDPT4_8399998_15</f>
        <v>0</v>
      </c>
      <c r="R277" s="3">
        <f>'GMIC_2020-Annu_SCDPT4'!SCDPT4_8399997_16+'GMIC_2020-Annu_SCDPT4'!SCDPT4_8399998_16</f>
        <v>886017194</v>
      </c>
      <c r="S277" s="3">
        <f>'GMIC_2020-Annu_SCDPT4'!SCDPT4_8399997_17+'GMIC_2020-Annu_SCDPT4'!SCDPT4_8399998_17</f>
        <v>0</v>
      </c>
      <c r="T277" s="3">
        <f>'GMIC_2020-Annu_SCDPT4'!SCDPT4_8399997_18+'GMIC_2020-Annu_SCDPT4'!SCDPT4_8399998_18</f>
        <v>-1705996</v>
      </c>
      <c r="U277" s="3">
        <f>'GMIC_2020-Annu_SCDPT4'!SCDPT4_8399997_19+'GMIC_2020-Annu_SCDPT4'!SCDPT4_8399998_19</f>
        <v>-1705996</v>
      </c>
      <c r="V277" s="3">
        <f>'GMIC_2020-Annu_SCDPT4'!SCDPT4_8399997_20+'GMIC_2020-Annu_SCDPT4'!SCDPT4_8399998_20</f>
        <v>22990278.899999999</v>
      </c>
      <c r="W277" s="2"/>
      <c r="X277" s="2"/>
      <c r="Y277" s="2"/>
      <c r="Z277" s="2"/>
      <c r="AA277" s="2"/>
      <c r="AB277" s="2"/>
    </row>
    <row r="278" spans="2:28" x14ac:dyDescent="0.25">
      <c r="B278" s="7" t="s">
        <v>2713</v>
      </c>
      <c r="C278" s="1" t="s">
        <v>2713</v>
      </c>
      <c r="D278" s="8" t="s">
        <v>2713</v>
      </c>
      <c r="E278" s="1" t="s">
        <v>2713</v>
      </c>
      <c r="F278" s="1" t="s">
        <v>2713</v>
      </c>
      <c r="G278" s="1" t="s">
        <v>2713</v>
      </c>
      <c r="H278" s="1" t="s">
        <v>2713</v>
      </c>
      <c r="I278" s="1" t="s">
        <v>2713</v>
      </c>
      <c r="J278" s="1" t="s">
        <v>2713</v>
      </c>
      <c r="K278" s="1" t="s">
        <v>2713</v>
      </c>
      <c r="L278" s="1" t="s">
        <v>2713</v>
      </c>
      <c r="M278" s="1" t="s">
        <v>2713</v>
      </c>
      <c r="N278" s="1" t="s">
        <v>2713</v>
      </c>
      <c r="O278" s="1" t="s">
        <v>2713</v>
      </c>
      <c r="P278" s="1" t="s">
        <v>2713</v>
      </c>
      <c r="Q278" s="1" t="s">
        <v>2713</v>
      </c>
      <c r="R278" s="1" t="s">
        <v>2713</v>
      </c>
      <c r="S278" s="1" t="s">
        <v>2713</v>
      </c>
      <c r="T278" s="1" t="s">
        <v>2713</v>
      </c>
      <c r="U278" s="1" t="s">
        <v>2713</v>
      </c>
      <c r="V278" s="1" t="s">
        <v>2713</v>
      </c>
      <c r="W278" s="1" t="s">
        <v>2713</v>
      </c>
      <c r="X278" s="1" t="s">
        <v>2713</v>
      </c>
      <c r="Y278" s="1" t="s">
        <v>2713</v>
      </c>
      <c r="Z278" s="1" t="s">
        <v>2713</v>
      </c>
      <c r="AA278" s="1" t="s">
        <v>2713</v>
      </c>
      <c r="AB278" s="1" t="s">
        <v>2713</v>
      </c>
    </row>
    <row r="279" spans="2:28" x14ac:dyDescent="0.25">
      <c r="B279" s="18" t="s">
        <v>3497</v>
      </c>
      <c r="C279" s="25" t="s">
        <v>3846</v>
      </c>
      <c r="D279" s="20" t="s">
        <v>3</v>
      </c>
      <c r="E279" s="22" t="s">
        <v>3</v>
      </c>
      <c r="F279" s="6"/>
      <c r="G279" s="5" t="s">
        <v>3</v>
      </c>
      <c r="H279" s="28"/>
      <c r="I279" s="4"/>
      <c r="J279" s="60"/>
      <c r="K279" s="4"/>
      <c r="L279" s="4"/>
      <c r="M279" s="4"/>
      <c r="N279" s="4"/>
      <c r="O279" s="4"/>
      <c r="P279" s="24"/>
      <c r="Q279" s="4"/>
      <c r="R279" s="4"/>
      <c r="S279" s="4"/>
      <c r="T279" s="4"/>
      <c r="U279" s="24"/>
      <c r="V279" s="4"/>
      <c r="W279" s="2"/>
      <c r="X279" s="2"/>
      <c r="Y279" s="5" t="s">
        <v>3</v>
      </c>
      <c r="Z279" s="5" t="s">
        <v>3</v>
      </c>
      <c r="AA279" s="5" t="s">
        <v>3</v>
      </c>
      <c r="AB279" s="16" t="s">
        <v>3</v>
      </c>
    </row>
    <row r="280" spans="2:28" x14ac:dyDescent="0.25">
      <c r="B280" s="7" t="s">
        <v>2713</v>
      </c>
      <c r="C280" s="1" t="s">
        <v>2713</v>
      </c>
      <c r="D280" s="8" t="s">
        <v>2713</v>
      </c>
      <c r="E280" s="1" t="s">
        <v>2713</v>
      </c>
      <c r="F280" s="1" t="s">
        <v>2713</v>
      </c>
      <c r="G280" s="1" t="s">
        <v>2713</v>
      </c>
      <c r="H280" s="1" t="s">
        <v>2713</v>
      </c>
      <c r="I280" s="1" t="s">
        <v>2713</v>
      </c>
      <c r="J280" s="1" t="s">
        <v>2713</v>
      </c>
      <c r="K280" s="1" t="s">
        <v>2713</v>
      </c>
      <c r="L280" s="1" t="s">
        <v>2713</v>
      </c>
      <c r="M280" s="1" t="s">
        <v>2713</v>
      </c>
      <c r="N280" s="1" t="s">
        <v>2713</v>
      </c>
      <c r="O280" s="1" t="s">
        <v>2713</v>
      </c>
      <c r="P280" s="1" t="s">
        <v>2713</v>
      </c>
      <c r="Q280" s="1" t="s">
        <v>2713</v>
      </c>
      <c r="R280" s="1" t="s">
        <v>2713</v>
      </c>
      <c r="S280" s="1" t="s">
        <v>2713</v>
      </c>
      <c r="T280" s="1" t="s">
        <v>2713</v>
      </c>
      <c r="U280" s="1" t="s">
        <v>2713</v>
      </c>
      <c r="V280" s="1" t="s">
        <v>2713</v>
      </c>
      <c r="W280" s="1" t="s">
        <v>2713</v>
      </c>
      <c r="X280" s="1" t="s">
        <v>2713</v>
      </c>
      <c r="Y280" s="1" t="s">
        <v>2713</v>
      </c>
      <c r="Z280" s="1" t="s">
        <v>2713</v>
      </c>
      <c r="AA280" s="1" t="s">
        <v>2713</v>
      </c>
      <c r="AB280" s="1" t="s">
        <v>2713</v>
      </c>
    </row>
    <row r="281" spans="2:28" ht="55.2" x14ac:dyDescent="0.25">
      <c r="B281" s="21" t="s">
        <v>522</v>
      </c>
      <c r="C281" s="19" t="s">
        <v>4155</v>
      </c>
      <c r="D281" s="17"/>
      <c r="E281" s="2"/>
      <c r="F281" s="2"/>
      <c r="G281" s="2"/>
      <c r="H281" s="2"/>
      <c r="I281" s="3">
        <f>SUM('GMIC_2020-Annu_SCDPT4'!SCDPT4_84BEGIN_7:'GMIC_2020-Annu_SCDPT4'!SCDPT4_84ENDIN_7)</f>
        <v>0</v>
      </c>
      <c r="J281" s="2"/>
      <c r="K281" s="3">
        <f>SUM('GMIC_2020-Annu_SCDPT4'!SCDPT4_84BEGIN_9:'GMIC_2020-Annu_SCDPT4'!SCDPT4_84ENDIN_9)</f>
        <v>0</v>
      </c>
      <c r="L281" s="3">
        <f>SUM('GMIC_2020-Annu_SCDPT4'!SCDPT4_84BEGIN_10:'GMIC_2020-Annu_SCDPT4'!SCDPT4_84ENDIN_10)</f>
        <v>0</v>
      </c>
      <c r="M281" s="3">
        <f>SUM('GMIC_2020-Annu_SCDPT4'!SCDPT4_84BEGIN_11:'GMIC_2020-Annu_SCDPT4'!SCDPT4_84ENDIN_11)</f>
        <v>0</v>
      </c>
      <c r="N281" s="3">
        <f>SUM('GMIC_2020-Annu_SCDPT4'!SCDPT4_84BEGIN_12:'GMIC_2020-Annu_SCDPT4'!SCDPT4_84ENDIN_12)</f>
        <v>0</v>
      </c>
      <c r="O281" s="3">
        <f>SUM('GMIC_2020-Annu_SCDPT4'!SCDPT4_84BEGIN_13:'GMIC_2020-Annu_SCDPT4'!SCDPT4_84ENDIN_13)</f>
        <v>0</v>
      </c>
      <c r="P281" s="3">
        <f>SUM('GMIC_2020-Annu_SCDPT4'!SCDPT4_84BEGIN_14:'GMIC_2020-Annu_SCDPT4'!SCDPT4_84ENDIN_14)</f>
        <v>0</v>
      </c>
      <c r="Q281" s="3">
        <f>SUM('GMIC_2020-Annu_SCDPT4'!SCDPT4_84BEGIN_15:'GMIC_2020-Annu_SCDPT4'!SCDPT4_84ENDIN_15)</f>
        <v>0</v>
      </c>
      <c r="R281" s="3">
        <f>SUM('GMIC_2020-Annu_SCDPT4'!SCDPT4_84BEGIN_16:'GMIC_2020-Annu_SCDPT4'!SCDPT4_84ENDIN_16)</f>
        <v>0</v>
      </c>
      <c r="S281" s="3">
        <f>SUM('GMIC_2020-Annu_SCDPT4'!SCDPT4_84BEGIN_17:'GMIC_2020-Annu_SCDPT4'!SCDPT4_84ENDIN_17)</f>
        <v>0</v>
      </c>
      <c r="T281" s="3">
        <f>SUM('GMIC_2020-Annu_SCDPT4'!SCDPT4_84BEGIN_18:'GMIC_2020-Annu_SCDPT4'!SCDPT4_84ENDIN_18)</f>
        <v>0</v>
      </c>
      <c r="U281" s="3">
        <f>SUM('GMIC_2020-Annu_SCDPT4'!SCDPT4_84BEGIN_19:'GMIC_2020-Annu_SCDPT4'!SCDPT4_84ENDIN_19)</f>
        <v>0</v>
      </c>
      <c r="V281" s="3">
        <f>SUM('GMIC_2020-Annu_SCDPT4'!SCDPT4_84BEGIN_20:'GMIC_2020-Annu_SCDPT4'!SCDPT4_84ENDIN_20)</f>
        <v>0</v>
      </c>
      <c r="W281" s="2"/>
      <c r="X281" s="2"/>
      <c r="Y281" s="2"/>
      <c r="Z281" s="2"/>
      <c r="AA281" s="2"/>
      <c r="AB281" s="2"/>
    </row>
    <row r="282" spans="2:28" x14ac:dyDescent="0.25">
      <c r="B282" s="7" t="s">
        <v>2713</v>
      </c>
      <c r="C282" s="1" t="s">
        <v>2713</v>
      </c>
      <c r="D282" s="8" t="s">
        <v>2713</v>
      </c>
      <c r="E282" s="1" t="s">
        <v>2713</v>
      </c>
      <c r="F282" s="1" t="s">
        <v>2713</v>
      </c>
      <c r="G282" s="1" t="s">
        <v>2713</v>
      </c>
      <c r="H282" s="1" t="s">
        <v>2713</v>
      </c>
      <c r="I282" s="1" t="s">
        <v>2713</v>
      </c>
      <c r="J282" s="1" t="s">
        <v>2713</v>
      </c>
      <c r="K282" s="1" t="s">
        <v>2713</v>
      </c>
      <c r="L282" s="1" t="s">
        <v>2713</v>
      </c>
      <c r="M282" s="1" t="s">
        <v>2713</v>
      </c>
      <c r="N282" s="1" t="s">
        <v>2713</v>
      </c>
      <c r="O282" s="1" t="s">
        <v>2713</v>
      </c>
      <c r="P282" s="1" t="s">
        <v>2713</v>
      </c>
      <c r="Q282" s="1" t="s">
        <v>2713</v>
      </c>
      <c r="R282" s="1" t="s">
        <v>2713</v>
      </c>
      <c r="S282" s="1" t="s">
        <v>2713</v>
      </c>
      <c r="T282" s="1" t="s">
        <v>2713</v>
      </c>
      <c r="U282" s="1" t="s">
        <v>2713</v>
      </c>
      <c r="V282" s="1" t="s">
        <v>2713</v>
      </c>
      <c r="W282" s="1" t="s">
        <v>2713</v>
      </c>
      <c r="X282" s="1" t="s">
        <v>2713</v>
      </c>
      <c r="Y282" s="1" t="s">
        <v>2713</v>
      </c>
      <c r="Z282" s="1" t="s">
        <v>2713</v>
      </c>
      <c r="AA282" s="1" t="s">
        <v>2713</v>
      </c>
      <c r="AB282" s="1" t="s">
        <v>2713</v>
      </c>
    </row>
    <row r="283" spans="2:28" x14ac:dyDescent="0.25">
      <c r="B283" s="18" t="s">
        <v>2680</v>
      </c>
      <c r="C283" s="25" t="s">
        <v>3846</v>
      </c>
      <c r="D283" s="20" t="s">
        <v>3</v>
      </c>
      <c r="E283" s="22" t="s">
        <v>3</v>
      </c>
      <c r="F283" s="6"/>
      <c r="G283" s="5" t="s">
        <v>3</v>
      </c>
      <c r="H283" s="28"/>
      <c r="I283" s="4"/>
      <c r="J283" s="60"/>
      <c r="K283" s="4"/>
      <c r="L283" s="4"/>
      <c r="M283" s="4"/>
      <c r="N283" s="4"/>
      <c r="O283" s="4"/>
      <c r="P283" s="24"/>
      <c r="Q283" s="4"/>
      <c r="R283" s="4"/>
      <c r="S283" s="4"/>
      <c r="T283" s="4"/>
      <c r="U283" s="24"/>
      <c r="V283" s="4"/>
      <c r="W283" s="2"/>
      <c r="X283" s="2"/>
      <c r="Y283" s="5" t="s">
        <v>3</v>
      </c>
      <c r="Z283" s="5" t="s">
        <v>3</v>
      </c>
      <c r="AA283" s="5" t="s">
        <v>3</v>
      </c>
      <c r="AB283" s="16" t="s">
        <v>3</v>
      </c>
    </row>
    <row r="284" spans="2:28" x14ac:dyDescent="0.25">
      <c r="B284" s="7" t="s">
        <v>2713</v>
      </c>
      <c r="C284" s="1" t="s">
        <v>2713</v>
      </c>
      <c r="D284" s="8" t="s">
        <v>2713</v>
      </c>
      <c r="E284" s="1" t="s">
        <v>2713</v>
      </c>
      <c r="F284" s="1" t="s">
        <v>2713</v>
      </c>
      <c r="G284" s="1" t="s">
        <v>2713</v>
      </c>
      <c r="H284" s="1" t="s">
        <v>2713</v>
      </c>
      <c r="I284" s="1" t="s">
        <v>2713</v>
      </c>
      <c r="J284" s="1" t="s">
        <v>2713</v>
      </c>
      <c r="K284" s="1" t="s">
        <v>2713</v>
      </c>
      <c r="L284" s="1" t="s">
        <v>2713</v>
      </c>
      <c r="M284" s="1" t="s">
        <v>2713</v>
      </c>
      <c r="N284" s="1" t="s">
        <v>2713</v>
      </c>
      <c r="O284" s="1" t="s">
        <v>2713</v>
      </c>
      <c r="P284" s="1" t="s">
        <v>2713</v>
      </c>
      <c r="Q284" s="1" t="s">
        <v>2713</v>
      </c>
      <c r="R284" s="1" t="s">
        <v>2713</v>
      </c>
      <c r="S284" s="1" t="s">
        <v>2713</v>
      </c>
      <c r="T284" s="1" t="s">
        <v>2713</v>
      </c>
      <c r="U284" s="1" t="s">
        <v>2713</v>
      </c>
      <c r="V284" s="1" t="s">
        <v>2713</v>
      </c>
      <c r="W284" s="1" t="s">
        <v>2713</v>
      </c>
      <c r="X284" s="1" t="s">
        <v>2713</v>
      </c>
      <c r="Y284" s="1" t="s">
        <v>2713</v>
      </c>
      <c r="Z284" s="1" t="s">
        <v>2713</v>
      </c>
      <c r="AA284" s="1" t="s">
        <v>2713</v>
      </c>
      <c r="AB284" s="1" t="s">
        <v>2713</v>
      </c>
    </row>
    <row r="285" spans="2:28" ht="55.2" x14ac:dyDescent="0.25">
      <c r="B285" s="21" t="s">
        <v>4156</v>
      </c>
      <c r="C285" s="19" t="s">
        <v>4157</v>
      </c>
      <c r="D285" s="17"/>
      <c r="E285" s="2"/>
      <c r="F285" s="2"/>
      <c r="G285" s="2"/>
      <c r="H285" s="2"/>
      <c r="I285" s="3">
        <f>SUM('GMIC_2020-Annu_SCDPT4'!SCDPT4_85BEGIN_7:'GMIC_2020-Annu_SCDPT4'!SCDPT4_85ENDIN_7)</f>
        <v>0</v>
      </c>
      <c r="J285" s="2"/>
      <c r="K285" s="3">
        <f>SUM('GMIC_2020-Annu_SCDPT4'!SCDPT4_85BEGIN_9:'GMIC_2020-Annu_SCDPT4'!SCDPT4_85ENDIN_9)</f>
        <v>0</v>
      </c>
      <c r="L285" s="3">
        <f>SUM('GMIC_2020-Annu_SCDPT4'!SCDPT4_85BEGIN_10:'GMIC_2020-Annu_SCDPT4'!SCDPT4_85ENDIN_10)</f>
        <v>0</v>
      </c>
      <c r="M285" s="3">
        <f>SUM('GMIC_2020-Annu_SCDPT4'!SCDPT4_85BEGIN_11:'GMIC_2020-Annu_SCDPT4'!SCDPT4_85ENDIN_11)</f>
        <v>0</v>
      </c>
      <c r="N285" s="3">
        <f>SUM('GMIC_2020-Annu_SCDPT4'!SCDPT4_85BEGIN_12:'GMIC_2020-Annu_SCDPT4'!SCDPT4_85ENDIN_12)</f>
        <v>0</v>
      </c>
      <c r="O285" s="3">
        <f>SUM('GMIC_2020-Annu_SCDPT4'!SCDPT4_85BEGIN_13:'GMIC_2020-Annu_SCDPT4'!SCDPT4_85ENDIN_13)</f>
        <v>0</v>
      </c>
      <c r="P285" s="3">
        <f>SUM('GMIC_2020-Annu_SCDPT4'!SCDPT4_85BEGIN_14:'GMIC_2020-Annu_SCDPT4'!SCDPT4_85ENDIN_14)</f>
        <v>0</v>
      </c>
      <c r="Q285" s="3">
        <f>SUM('GMIC_2020-Annu_SCDPT4'!SCDPT4_85BEGIN_15:'GMIC_2020-Annu_SCDPT4'!SCDPT4_85ENDIN_15)</f>
        <v>0</v>
      </c>
      <c r="R285" s="3">
        <f>SUM('GMIC_2020-Annu_SCDPT4'!SCDPT4_85BEGIN_16:'GMIC_2020-Annu_SCDPT4'!SCDPT4_85ENDIN_16)</f>
        <v>0</v>
      </c>
      <c r="S285" s="3">
        <f>SUM('GMIC_2020-Annu_SCDPT4'!SCDPT4_85BEGIN_17:'GMIC_2020-Annu_SCDPT4'!SCDPT4_85ENDIN_17)</f>
        <v>0</v>
      </c>
      <c r="T285" s="3">
        <f>SUM('GMIC_2020-Annu_SCDPT4'!SCDPT4_85BEGIN_18:'GMIC_2020-Annu_SCDPT4'!SCDPT4_85ENDIN_18)</f>
        <v>0</v>
      </c>
      <c r="U285" s="3">
        <f>SUM('GMIC_2020-Annu_SCDPT4'!SCDPT4_85BEGIN_19:'GMIC_2020-Annu_SCDPT4'!SCDPT4_85ENDIN_19)</f>
        <v>0</v>
      </c>
      <c r="V285" s="3">
        <f>SUM('GMIC_2020-Annu_SCDPT4'!SCDPT4_85BEGIN_20:'GMIC_2020-Annu_SCDPT4'!SCDPT4_85ENDIN_20)</f>
        <v>0</v>
      </c>
      <c r="W285" s="2"/>
      <c r="X285" s="2"/>
      <c r="Y285" s="2"/>
      <c r="Z285" s="2"/>
      <c r="AA285" s="2"/>
      <c r="AB285" s="2"/>
    </row>
    <row r="286" spans="2:28" x14ac:dyDescent="0.25">
      <c r="B286" s="7" t="s">
        <v>2713</v>
      </c>
      <c r="C286" s="1" t="s">
        <v>2713</v>
      </c>
      <c r="D286" s="8" t="s">
        <v>2713</v>
      </c>
      <c r="E286" s="1" t="s">
        <v>2713</v>
      </c>
      <c r="F286" s="1" t="s">
        <v>2713</v>
      </c>
      <c r="G286" s="1" t="s">
        <v>2713</v>
      </c>
      <c r="H286" s="1" t="s">
        <v>2713</v>
      </c>
      <c r="I286" s="1" t="s">
        <v>2713</v>
      </c>
      <c r="J286" s="1" t="s">
        <v>2713</v>
      </c>
      <c r="K286" s="1" t="s">
        <v>2713</v>
      </c>
      <c r="L286" s="1" t="s">
        <v>2713</v>
      </c>
      <c r="M286" s="1" t="s">
        <v>2713</v>
      </c>
      <c r="N286" s="1" t="s">
        <v>2713</v>
      </c>
      <c r="O286" s="1" t="s">
        <v>2713</v>
      </c>
      <c r="P286" s="1" t="s">
        <v>2713</v>
      </c>
      <c r="Q286" s="1" t="s">
        <v>2713</v>
      </c>
      <c r="R286" s="1" t="s">
        <v>2713</v>
      </c>
      <c r="S286" s="1" t="s">
        <v>2713</v>
      </c>
      <c r="T286" s="1" t="s">
        <v>2713</v>
      </c>
      <c r="U286" s="1" t="s">
        <v>2713</v>
      </c>
      <c r="V286" s="1" t="s">
        <v>2713</v>
      </c>
      <c r="W286" s="1" t="s">
        <v>2713</v>
      </c>
      <c r="X286" s="1" t="s">
        <v>2713</v>
      </c>
      <c r="Y286" s="1" t="s">
        <v>2713</v>
      </c>
      <c r="Z286" s="1" t="s">
        <v>2713</v>
      </c>
      <c r="AA286" s="1" t="s">
        <v>2713</v>
      </c>
      <c r="AB286" s="1" t="s">
        <v>2713</v>
      </c>
    </row>
    <row r="287" spans="2:28" x14ac:dyDescent="0.25">
      <c r="B287" s="18" t="s">
        <v>1944</v>
      </c>
      <c r="C287" s="25" t="s">
        <v>3846</v>
      </c>
      <c r="D287" s="20" t="s">
        <v>3</v>
      </c>
      <c r="E287" s="22" t="s">
        <v>3</v>
      </c>
      <c r="F287" s="6"/>
      <c r="G287" s="5" t="s">
        <v>3</v>
      </c>
      <c r="H287" s="28"/>
      <c r="I287" s="4"/>
      <c r="J287" s="60"/>
      <c r="K287" s="4"/>
      <c r="L287" s="4"/>
      <c r="M287" s="4"/>
      <c r="N287" s="4"/>
      <c r="O287" s="4"/>
      <c r="P287" s="24"/>
      <c r="Q287" s="4"/>
      <c r="R287" s="4"/>
      <c r="S287" s="4"/>
      <c r="T287" s="4"/>
      <c r="U287" s="24"/>
      <c r="V287" s="4"/>
      <c r="W287" s="2"/>
      <c r="X287" s="2"/>
      <c r="Y287" s="5" t="s">
        <v>3</v>
      </c>
      <c r="Z287" s="5" t="s">
        <v>3</v>
      </c>
      <c r="AA287" s="5" t="s">
        <v>3</v>
      </c>
      <c r="AB287" s="16" t="s">
        <v>3</v>
      </c>
    </row>
    <row r="288" spans="2:28" x14ac:dyDescent="0.25">
      <c r="B288" s="7" t="s">
        <v>2713</v>
      </c>
      <c r="C288" s="1" t="s">
        <v>2713</v>
      </c>
      <c r="D288" s="8" t="s">
        <v>2713</v>
      </c>
      <c r="E288" s="1" t="s">
        <v>2713</v>
      </c>
      <c r="F288" s="1" t="s">
        <v>2713</v>
      </c>
      <c r="G288" s="1" t="s">
        <v>2713</v>
      </c>
      <c r="H288" s="1" t="s">
        <v>2713</v>
      </c>
      <c r="I288" s="1" t="s">
        <v>2713</v>
      </c>
      <c r="J288" s="1" t="s">
        <v>2713</v>
      </c>
      <c r="K288" s="1" t="s">
        <v>2713</v>
      </c>
      <c r="L288" s="1" t="s">
        <v>2713</v>
      </c>
      <c r="M288" s="1" t="s">
        <v>2713</v>
      </c>
      <c r="N288" s="1" t="s">
        <v>2713</v>
      </c>
      <c r="O288" s="1" t="s">
        <v>2713</v>
      </c>
      <c r="P288" s="1" t="s">
        <v>2713</v>
      </c>
      <c r="Q288" s="1" t="s">
        <v>2713</v>
      </c>
      <c r="R288" s="1" t="s">
        <v>2713</v>
      </c>
      <c r="S288" s="1" t="s">
        <v>2713</v>
      </c>
      <c r="T288" s="1" t="s">
        <v>2713</v>
      </c>
      <c r="U288" s="1" t="s">
        <v>2713</v>
      </c>
      <c r="V288" s="1" t="s">
        <v>2713</v>
      </c>
      <c r="W288" s="1" t="s">
        <v>2713</v>
      </c>
      <c r="X288" s="1" t="s">
        <v>2713</v>
      </c>
      <c r="Y288" s="1" t="s">
        <v>2713</v>
      </c>
      <c r="Z288" s="1" t="s">
        <v>2713</v>
      </c>
      <c r="AA288" s="1" t="s">
        <v>2713</v>
      </c>
      <c r="AB288" s="1" t="s">
        <v>2713</v>
      </c>
    </row>
    <row r="289" spans="2:28" ht="41.4" x14ac:dyDescent="0.25">
      <c r="B289" s="21" t="s">
        <v>3273</v>
      </c>
      <c r="C289" s="19" t="s">
        <v>3030</v>
      </c>
      <c r="D289" s="17"/>
      <c r="E289" s="2"/>
      <c r="F289" s="2"/>
      <c r="G289" s="2"/>
      <c r="H289" s="2"/>
      <c r="I289" s="3">
        <f>SUM('GMIC_2020-Annu_SCDPT4'!SCDPT4_86BEGIN_7:'GMIC_2020-Annu_SCDPT4'!SCDPT4_86ENDIN_7)</f>
        <v>0</v>
      </c>
      <c r="J289" s="2"/>
      <c r="K289" s="3">
        <f>SUM('GMIC_2020-Annu_SCDPT4'!SCDPT4_86BEGIN_9:'GMIC_2020-Annu_SCDPT4'!SCDPT4_86ENDIN_9)</f>
        <v>0</v>
      </c>
      <c r="L289" s="3">
        <f>SUM('GMIC_2020-Annu_SCDPT4'!SCDPT4_86BEGIN_10:'GMIC_2020-Annu_SCDPT4'!SCDPT4_86ENDIN_10)</f>
        <v>0</v>
      </c>
      <c r="M289" s="3">
        <f>SUM('GMIC_2020-Annu_SCDPT4'!SCDPT4_86BEGIN_11:'GMIC_2020-Annu_SCDPT4'!SCDPT4_86ENDIN_11)</f>
        <v>0</v>
      </c>
      <c r="N289" s="3">
        <f>SUM('GMIC_2020-Annu_SCDPT4'!SCDPT4_86BEGIN_12:'GMIC_2020-Annu_SCDPT4'!SCDPT4_86ENDIN_12)</f>
        <v>0</v>
      </c>
      <c r="O289" s="3">
        <f>SUM('GMIC_2020-Annu_SCDPT4'!SCDPT4_86BEGIN_13:'GMIC_2020-Annu_SCDPT4'!SCDPT4_86ENDIN_13)</f>
        <v>0</v>
      </c>
      <c r="P289" s="3">
        <f>SUM('GMIC_2020-Annu_SCDPT4'!SCDPT4_86BEGIN_14:'GMIC_2020-Annu_SCDPT4'!SCDPT4_86ENDIN_14)</f>
        <v>0</v>
      </c>
      <c r="Q289" s="3">
        <f>SUM('GMIC_2020-Annu_SCDPT4'!SCDPT4_86BEGIN_15:'GMIC_2020-Annu_SCDPT4'!SCDPT4_86ENDIN_15)</f>
        <v>0</v>
      </c>
      <c r="R289" s="3">
        <f>SUM('GMIC_2020-Annu_SCDPT4'!SCDPT4_86BEGIN_16:'GMIC_2020-Annu_SCDPT4'!SCDPT4_86ENDIN_16)</f>
        <v>0</v>
      </c>
      <c r="S289" s="3">
        <f>SUM('GMIC_2020-Annu_SCDPT4'!SCDPT4_86BEGIN_17:'GMIC_2020-Annu_SCDPT4'!SCDPT4_86ENDIN_17)</f>
        <v>0</v>
      </c>
      <c r="T289" s="3">
        <f>SUM('GMIC_2020-Annu_SCDPT4'!SCDPT4_86BEGIN_18:'GMIC_2020-Annu_SCDPT4'!SCDPT4_86ENDIN_18)</f>
        <v>0</v>
      </c>
      <c r="U289" s="3">
        <f>SUM('GMIC_2020-Annu_SCDPT4'!SCDPT4_86BEGIN_19:'GMIC_2020-Annu_SCDPT4'!SCDPT4_86ENDIN_19)</f>
        <v>0</v>
      </c>
      <c r="V289" s="3">
        <f>SUM('GMIC_2020-Annu_SCDPT4'!SCDPT4_86BEGIN_20:'GMIC_2020-Annu_SCDPT4'!SCDPT4_86ENDIN_20)</f>
        <v>0</v>
      </c>
      <c r="W289" s="2"/>
      <c r="X289" s="2"/>
      <c r="Y289" s="2"/>
      <c r="Z289" s="2"/>
      <c r="AA289" s="2"/>
      <c r="AB289" s="2"/>
    </row>
    <row r="290" spans="2:28" x14ac:dyDescent="0.25">
      <c r="B290" s="7" t="s">
        <v>2713</v>
      </c>
      <c r="C290" s="1" t="s">
        <v>2713</v>
      </c>
      <c r="D290" s="8" t="s">
        <v>2713</v>
      </c>
      <c r="E290" s="1" t="s">
        <v>2713</v>
      </c>
      <c r="F290" s="1" t="s">
        <v>2713</v>
      </c>
      <c r="G290" s="1" t="s">
        <v>2713</v>
      </c>
      <c r="H290" s="1" t="s">
        <v>2713</v>
      </c>
      <c r="I290" s="1" t="s">
        <v>2713</v>
      </c>
      <c r="J290" s="1" t="s">
        <v>2713</v>
      </c>
      <c r="K290" s="1" t="s">
        <v>2713</v>
      </c>
      <c r="L290" s="1" t="s">
        <v>2713</v>
      </c>
      <c r="M290" s="1" t="s">
        <v>2713</v>
      </c>
      <c r="N290" s="1" t="s">
        <v>2713</v>
      </c>
      <c r="O290" s="1" t="s">
        <v>2713</v>
      </c>
      <c r="P290" s="1" t="s">
        <v>2713</v>
      </c>
      <c r="Q290" s="1" t="s">
        <v>2713</v>
      </c>
      <c r="R290" s="1" t="s">
        <v>2713</v>
      </c>
      <c r="S290" s="1" t="s">
        <v>2713</v>
      </c>
      <c r="T290" s="1" t="s">
        <v>2713</v>
      </c>
      <c r="U290" s="1" t="s">
        <v>2713</v>
      </c>
      <c r="V290" s="1" t="s">
        <v>2713</v>
      </c>
      <c r="W290" s="1" t="s">
        <v>2713</v>
      </c>
      <c r="X290" s="1" t="s">
        <v>2713</v>
      </c>
      <c r="Y290" s="1" t="s">
        <v>2713</v>
      </c>
      <c r="Z290" s="1" t="s">
        <v>2713</v>
      </c>
      <c r="AA290" s="1" t="s">
        <v>2713</v>
      </c>
      <c r="AB290" s="1" t="s">
        <v>2713</v>
      </c>
    </row>
    <row r="291" spans="2:28" x14ac:dyDescent="0.25">
      <c r="B291" s="18" t="s">
        <v>1112</v>
      </c>
      <c r="C291" s="25" t="s">
        <v>3846</v>
      </c>
      <c r="D291" s="20" t="s">
        <v>3</v>
      </c>
      <c r="E291" s="22" t="s">
        <v>3</v>
      </c>
      <c r="F291" s="6"/>
      <c r="G291" s="5" t="s">
        <v>3</v>
      </c>
      <c r="H291" s="28"/>
      <c r="I291" s="4"/>
      <c r="J291" s="60"/>
      <c r="K291" s="4"/>
      <c r="L291" s="4"/>
      <c r="M291" s="4"/>
      <c r="N291" s="4"/>
      <c r="O291" s="4"/>
      <c r="P291" s="24"/>
      <c r="Q291" s="4"/>
      <c r="R291" s="4"/>
      <c r="S291" s="4"/>
      <c r="T291" s="4"/>
      <c r="U291" s="24"/>
      <c r="V291" s="4"/>
      <c r="W291" s="2"/>
      <c r="X291" s="2"/>
      <c r="Y291" s="5" t="s">
        <v>3</v>
      </c>
      <c r="Z291" s="5" t="s">
        <v>3</v>
      </c>
      <c r="AA291" s="5" t="s">
        <v>3</v>
      </c>
      <c r="AB291" s="16" t="s">
        <v>3</v>
      </c>
    </row>
    <row r="292" spans="2:28" x14ac:dyDescent="0.25">
      <c r="B292" s="7" t="s">
        <v>2713</v>
      </c>
      <c r="C292" s="1" t="s">
        <v>2713</v>
      </c>
      <c r="D292" s="8" t="s">
        <v>2713</v>
      </c>
      <c r="E292" s="1" t="s">
        <v>2713</v>
      </c>
      <c r="F292" s="1" t="s">
        <v>2713</v>
      </c>
      <c r="G292" s="1" t="s">
        <v>2713</v>
      </c>
      <c r="H292" s="1" t="s">
        <v>2713</v>
      </c>
      <c r="I292" s="1" t="s">
        <v>2713</v>
      </c>
      <c r="J292" s="1" t="s">
        <v>2713</v>
      </c>
      <c r="K292" s="1" t="s">
        <v>2713</v>
      </c>
      <c r="L292" s="1" t="s">
        <v>2713</v>
      </c>
      <c r="M292" s="1" t="s">
        <v>2713</v>
      </c>
      <c r="N292" s="1" t="s">
        <v>2713</v>
      </c>
      <c r="O292" s="1" t="s">
        <v>2713</v>
      </c>
      <c r="P292" s="1" t="s">
        <v>2713</v>
      </c>
      <c r="Q292" s="1" t="s">
        <v>2713</v>
      </c>
      <c r="R292" s="1" t="s">
        <v>2713</v>
      </c>
      <c r="S292" s="1" t="s">
        <v>2713</v>
      </c>
      <c r="T292" s="1" t="s">
        <v>2713</v>
      </c>
      <c r="U292" s="1" t="s">
        <v>2713</v>
      </c>
      <c r="V292" s="1" t="s">
        <v>2713</v>
      </c>
      <c r="W292" s="1" t="s">
        <v>2713</v>
      </c>
      <c r="X292" s="1" t="s">
        <v>2713</v>
      </c>
      <c r="Y292" s="1" t="s">
        <v>2713</v>
      </c>
      <c r="Z292" s="1" t="s">
        <v>2713</v>
      </c>
      <c r="AA292" s="1" t="s">
        <v>2713</v>
      </c>
      <c r="AB292" s="1" t="s">
        <v>2713</v>
      </c>
    </row>
    <row r="293" spans="2:28" ht="55.2" x14ac:dyDescent="0.25">
      <c r="B293" s="21" t="s">
        <v>2681</v>
      </c>
      <c r="C293" s="19" t="s">
        <v>1113</v>
      </c>
      <c r="D293" s="17"/>
      <c r="E293" s="2"/>
      <c r="F293" s="2"/>
      <c r="G293" s="2"/>
      <c r="H293" s="2"/>
      <c r="I293" s="3">
        <f>SUM('GMIC_2020-Annu_SCDPT4'!SCDPT4_87BEGIN_7:'GMIC_2020-Annu_SCDPT4'!SCDPT4_87ENDIN_7)</f>
        <v>0</v>
      </c>
      <c r="J293" s="2"/>
      <c r="K293" s="3">
        <f>SUM('GMIC_2020-Annu_SCDPT4'!SCDPT4_87BEGIN_9:'GMIC_2020-Annu_SCDPT4'!SCDPT4_87ENDIN_9)</f>
        <v>0</v>
      </c>
      <c r="L293" s="3">
        <f>SUM('GMIC_2020-Annu_SCDPT4'!SCDPT4_87BEGIN_10:'GMIC_2020-Annu_SCDPT4'!SCDPT4_87ENDIN_10)</f>
        <v>0</v>
      </c>
      <c r="M293" s="3">
        <f>SUM('GMIC_2020-Annu_SCDPT4'!SCDPT4_87BEGIN_11:'GMIC_2020-Annu_SCDPT4'!SCDPT4_87ENDIN_11)</f>
        <v>0</v>
      </c>
      <c r="N293" s="3">
        <f>SUM('GMIC_2020-Annu_SCDPT4'!SCDPT4_87BEGIN_12:'GMIC_2020-Annu_SCDPT4'!SCDPT4_87ENDIN_12)</f>
        <v>0</v>
      </c>
      <c r="O293" s="3">
        <f>SUM('GMIC_2020-Annu_SCDPT4'!SCDPT4_87BEGIN_13:'GMIC_2020-Annu_SCDPT4'!SCDPT4_87ENDIN_13)</f>
        <v>0</v>
      </c>
      <c r="P293" s="3">
        <f>SUM('GMIC_2020-Annu_SCDPT4'!SCDPT4_87BEGIN_14:'GMIC_2020-Annu_SCDPT4'!SCDPT4_87ENDIN_14)</f>
        <v>0</v>
      </c>
      <c r="Q293" s="3">
        <f>SUM('GMIC_2020-Annu_SCDPT4'!SCDPT4_87BEGIN_15:'GMIC_2020-Annu_SCDPT4'!SCDPT4_87ENDIN_15)</f>
        <v>0</v>
      </c>
      <c r="R293" s="3">
        <f>SUM('GMIC_2020-Annu_SCDPT4'!SCDPT4_87BEGIN_16:'GMIC_2020-Annu_SCDPT4'!SCDPT4_87ENDIN_16)</f>
        <v>0</v>
      </c>
      <c r="S293" s="3">
        <f>SUM('GMIC_2020-Annu_SCDPT4'!SCDPT4_87BEGIN_17:'GMIC_2020-Annu_SCDPT4'!SCDPT4_87ENDIN_17)</f>
        <v>0</v>
      </c>
      <c r="T293" s="3">
        <f>SUM('GMIC_2020-Annu_SCDPT4'!SCDPT4_87BEGIN_18:'GMIC_2020-Annu_SCDPT4'!SCDPT4_87ENDIN_18)</f>
        <v>0</v>
      </c>
      <c r="U293" s="3">
        <f>SUM('GMIC_2020-Annu_SCDPT4'!SCDPT4_87BEGIN_19:'GMIC_2020-Annu_SCDPT4'!SCDPT4_87ENDIN_19)</f>
        <v>0</v>
      </c>
      <c r="V293" s="3">
        <f>SUM('GMIC_2020-Annu_SCDPT4'!SCDPT4_87BEGIN_20:'GMIC_2020-Annu_SCDPT4'!SCDPT4_87ENDIN_20)</f>
        <v>0</v>
      </c>
      <c r="W293" s="2"/>
      <c r="X293" s="2"/>
      <c r="Y293" s="2"/>
      <c r="Z293" s="2"/>
      <c r="AA293" s="2"/>
      <c r="AB293" s="2"/>
    </row>
    <row r="294" spans="2:28" ht="27.6" x14ac:dyDescent="0.25">
      <c r="B294" s="21" t="s">
        <v>3274</v>
      </c>
      <c r="C294" s="19" t="s">
        <v>3299</v>
      </c>
      <c r="D294" s="17"/>
      <c r="E294" s="2"/>
      <c r="F294" s="2"/>
      <c r="G294" s="2"/>
      <c r="H294" s="2"/>
      <c r="I294" s="3">
        <f>'GMIC_2020-Annu_SCDPT4'!SCDPT4_8499999_7+'GMIC_2020-Annu_SCDPT4'!SCDPT4_8599999_7+'GMIC_2020-Annu_SCDPT4'!SCDPT4_8699999_7+'GMIC_2020-Annu_SCDPT4'!SCDPT4_8799999_7</f>
        <v>0</v>
      </c>
      <c r="J294" s="2"/>
      <c r="K294" s="3">
        <f>'GMIC_2020-Annu_SCDPT4'!SCDPT4_8499999_9+'GMIC_2020-Annu_SCDPT4'!SCDPT4_8599999_9+'GMIC_2020-Annu_SCDPT4'!SCDPT4_8699999_9+'GMIC_2020-Annu_SCDPT4'!SCDPT4_8799999_9</f>
        <v>0</v>
      </c>
      <c r="L294" s="3">
        <f>'GMIC_2020-Annu_SCDPT4'!SCDPT4_8499999_10+'GMIC_2020-Annu_SCDPT4'!SCDPT4_8599999_10+'GMIC_2020-Annu_SCDPT4'!SCDPT4_8699999_10+'GMIC_2020-Annu_SCDPT4'!SCDPT4_8799999_10</f>
        <v>0</v>
      </c>
      <c r="M294" s="3">
        <f>'GMIC_2020-Annu_SCDPT4'!SCDPT4_8499999_11+'GMIC_2020-Annu_SCDPT4'!SCDPT4_8599999_11+'GMIC_2020-Annu_SCDPT4'!SCDPT4_8699999_11+'GMIC_2020-Annu_SCDPT4'!SCDPT4_8799999_11</f>
        <v>0</v>
      </c>
      <c r="N294" s="3">
        <f>'GMIC_2020-Annu_SCDPT4'!SCDPT4_8499999_12+'GMIC_2020-Annu_SCDPT4'!SCDPT4_8599999_12+'GMIC_2020-Annu_SCDPT4'!SCDPT4_8699999_12+'GMIC_2020-Annu_SCDPT4'!SCDPT4_8799999_12</f>
        <v>0</v>
      </c>
      <c r="O294" s="3">
        <f>'GMIC_2020-Annu_SCDPT4'!SCDPT4_8499999_13+'GMIC_2020-Annu_SCDPT4'!SCDPT4_8599999_13+'GMIC_2020-Annu_SCDPT4'!SCDPT4_8699999_13+'GMIC_2020-Annu_SCDPT4'!SCDPT4_8799999_13</f>
        <v>0</v>
      </c>
      <c r="P294" s="3">
        <f>'GMIC_2020-Annu_SCDPT4'!SCDPT4_8499999_14+'GMIC_2020-Annu_SCDPT4'!SCDPT4_8599999_14+'GMIC_2020-Annu_SCDPT4'!SCDPT4_8699999_14+'GMIC_2020-Annu_SCDPT4'!SCDPT4_8799999_14</f>
        <v>0</v>
      </c>
      <c r="Q294" s="3">
        <f>'GMIC_2020-Annu_SCDPT4'!SCDPT4_8499999_15+'GMIC_2020-Annu_SCDPT4'!SCDPT4_8599999_15+'GMIC_2020-Annu_SCDPT4'!SCDPT4_8699999_15+'GMIC_2020-Annu_SCDPT4'!SCDPT4_8799999_15</f>
        <v>0</v>
      </c>
      <c r="R294" s="3">
        <f>'GMIC_2020-Annu_SCDPT4'!SCDPT4_8499999_16+'GMIC_2020-Annu_SCDPT4'!SCDPT4_8599999_16+'GMIC_2020-Annu_SCDPT4'!SCDPT4_8699999_16+'GMIC_2020-Annu_SCDPT4'!SCDPT4_8799999_16</f>
        <v>0</v>
      </c>
      <c r="S294" s="3">
        <f>'GMIC_2020-Annu_SCDPT4'!SCDPT4_8499999_17+'GMIC_2020-Annu_SCDPT4'!SCDPT4_8599999_17+'GMIC_2020-Annu_SCDPT4'!SCDPT4_8699999_17+'GMIC_2020-Annu_SCDPT4'!SCDPT4_8799999_17</f>
        <v>0</v>
      </c>
      <c r="T294" s="3">
        <f>'GMIC_2020-Annu_SCDPT4'!SCDPT4_8499999_18+'GMIC_2020-Annu_SCDPT4'!SCDPT4_8599999_18+'GMIC_2020-Annu_SCDPT4'!SCDPT4_8699999_18+'GMIC_2020-Annu_SCDPT4'!SCDPT4_8799999_18</f>
        <v>0</v>
      </c>
      <c r="U294" s="3">
        <f>'GMIC_2020-Annu_SCDPT4'!SCDPT4_8499999_19+'GMIC_2020-Annu_SCDPT4'!SCDPT4_8599999_19+'GMIC_2020-Annu_SCDPT4'!SCDPT4_8699999_19+'GMIC_2020-Annu_SCDPT4'!SCDPT4_8799999_19</f>
        <v>0</v>
      </c>
      <c r="V294" s="3">
        <f>'GMIC_2020-Annu_SCDPT4'!SCDPT4_8499999_20+'GMIC_2020-Annu_SCDPT4'!SCDPT4_8599999_20+'GMIC_2020-Annu_SCDPT4'!SCDPT4_8699999_20+'GMIC_2020-Annu_SCDPT4'!SCDPT4_8799999_20</f>
        <v>0</v>
      </c>
      <c r="W294" s="2"/>
      <c r="X294" s="2"/>
      <c r="Y294" s="2"/>
      <c r="Z294" s="2"/>
      <c r="AA294" s="2"/>
      <c r="AB294" s="2"/>
    </row>
    <row r="295" spans="2:28" ht="27.6" x14ac:dyDescent="0.25">
      <c r="B295" s="21" t="s">
        <v>4406</v>
      </c>
      <c r="C295" s="19" t="s">
        <v>4407</v>
      </c>
      <c r="D295" s="17"/>
      <c r="E295" s="2"/>
      <c r="F295" s="2"/>
      <c r="G295" s="2"/>
      <c r="H295" s="2"/>
      <c r="I295" s="30"/>
      <c r="J295" s="2"/>
      <c r="K295" s="30"/>
      <c r="L295" s="4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2"/>
      <c r="X295" s="2"/>
      <c r="Y295" s="2"/>
      <c r="Z295" s="2"/>
      <c r="AA295" s="2"/>
      <c r="AB295" s="2"/>
    </row>
    <row r="296" spans="2:28" x14ac:dyDescent="0.25">
      <c r="B296" s="21" t="s">
        <v>1114</v>
      </c>
      <c r="C296" s="19" t="s">
        <v>3799</v>
      </c>
      <c r="D296" s="17"/>
      <c r="E296" s="2"/>
      <c r="F296" s="2"/>
      <c r="G296" s="2"/>
      <c r="H296" s="2"/>
      <c r="I296" s="3">
        <f>'GMIC_2020-Annu_SCDPT4'!SCDPT4_8999997_7+'GMIC_2020-Annu_SCDPT4'!SCDPT4_8999998_7</f>
        <v>0</v>
      </c>
      <c r="J296" s="2"/>
      <c r="K296" s="3">
        <f>'GMIC_2020-Annu_SCDPT4'!SCDPT4_8999997_9+'GMIC_2020-Annu_SCDPT4'!SCDPT4_8999998_9</f>
        <v>0</v>
      </c>
      <c r="L296" s="3">
        <f>'GMIC_2020-Annu_SCDPT4'!SCDPT4_8999997_10+'GMIC_2020-Annu_SCDPT4'!SCDPT4_8999998_10</f>
        <v>0</v>
      </c>
      <c r="M296" s="3">
        <f>'GMIC_2020-Annu_SCDPT4'!SCDPT4_8999997_11+'GMIC_2020-Annu_SCDPT4'!SCDPT4_8999998_11</f>
        <v>0</v>
      </c>
      <c r="N296" s="3">
        <f>'GMIC_2020-Annu_SCDPT4'!SCDPT4_8999997_12+'GMIC_2020-Annu_SCDPT4'!SCDPT4_8999998_12</f>
        <v>0</v>
      </c>
      <c r="O296" s="3">
        <f>'GMIC_2020-Annu_SCDPT4'!SCDPT4_8999997_13+'GMIC_2020-Annu_SCDPT4'!SCDPT4_8999998_13</f>
        <v>0</v>
      </c>
      <c r="P296" s="3">
        <f>'GMIC_2020-Annu_SCDPT4'!SCDPT4_8999997_14+'GMIC_2020-Annu_SCDPT4'!SCDPT4_8999998_14</f>
        <v>0</v>
      </c>
      <c r="Q296" s="3">
        <f>'GMIC_2020-Annu_SCDPT4'!SCDPT4_8999997_15+'GMIC_2020-Annu_SCDPT4'!SCDPT4_8999998_15</f>
        <v>0</v>
      </c>
      <c r="R296" s="3">
        <f>'GMIC_2020-Annu_SCDPT4'!SCDPT4_8999997_16+'GMIC_2020-Annu_SCDPT4'!SCDPT4_8999998_16</f>
        <v>0</v>
      </c>
      <c r="S296" s="3">
        <f>'GMIC_2020-Annu_SCDPT4'!SCDPT4_8999997_17+'GMIC_2020-Annu_SCDPT4'!SCDPT4_8999998_17</f>
        <v>0</v>
      </c>
      <c r="T296" s="3">
        <f>'GMIC_2020-Annu_SCDPT4'!SCDPT4_8999997_18+'GMIC_2020-Annu_SCDPT4'!SCDPT4_8999998_18</f>
        <v>0</v>
      </c>
      <c r="U296" s="3">
        <f>'GMIC_2020-Annu_SCDPT4'!SCDPT4_8999997_19+'GMIC_2020-Annu_SCDPT4'!SCDPT4_8999998_19</f>
        <v>0</v>
      </c>
      <c r="V296" s="3">
        <f>'GMIC_2020-Annu_SCDPT4'!SCDPT4_8999997_20+'GMIC_2020-Annu_SCDPT4'!SCDPT4_8999998_20</f>
        <v>0</v>
      </c>
      <c r="W296" s="2"/>
      <c r="X296" s="2"/>
      <c r="Y296" s="2"/>
      <c r="Z296" s="2"/>
      <c r="AA296" s="2"/>
      <c r="AB296" s="2"/>
    </row>
    <row r="297" spans="2:28" x14ac:dyDescent="0.25">
      <c r="B297" s="7" t="s">
        <v>2713</v>
      </c>
      <c r="C297" s="1" t="s">
        <v>2713</v>
      </c>
      <c r="D297" s="8" t="s">
        <v>2713</v>
      </c>
      <c r="E297" s="1" t="s">
        <v>2713</v>
      </c>
      <c r="F297" s="1" t="s">
        <v>2713</v>
      </c>
      <c r="G297" s="1" t="s">
        <v>2713</v>
      </c>
      <c r="H297" s="1" t="s">
        <v>2713</v>
      </c>
      <c r="I297" s="1" t="s">
        <v>2713</v>
      </c>
      <c r="J297" s="1" t="s">
        <v>2713</v>
      </c>
      <c r="K297" s="1" t="s">
        <v>2713</v>
      </c>
      <c r="L297" s="1" t="s">
        <v>2713</v>
      </c>
      <c r="M297" s="1" t="s">
        <v>2713</v>
      </c>
      <c r="N297" s="1" t="s">
        <v>2713</v>
      </c>
      <c r="O297" s="1" t="s">
        <v>2713</v>
      </c>
      <c r="P297" s="1" t="s">
        <v>2713</v>
      </c>
      <c r="Q297" s="1" t="s">
        <v>2713</v>
      </c>
      <c r="R297" s="1" t="s">
        <v>2713</v>
      </c>
      <c r="S297" s="1" t="s">
        <v>2713</v>
      </c>
      <c r="T297" s="1" t="s">
        <v>2713</v>
      </c>
      <c r="U297" s="1" t="s">
        <v>2713</v>
      </c>
      <c r="V297" s="1" t="s">
        <v>2713</v>
      </c>
      <c r="W297" s="1" t="s">
        <v>2713</v>
      </c>
      <c r="X297" s="1" t="s">
        <v>2713</v>
      </c>
      <c r="Y297" s="1" t="s">
        <v>2713</v>
      </c>
      <c r="Z297" s="1" t="s">
        <v>2713</v>
      </c>
      <c r="AA297" s="1" t="s">
        <v>2713</v>
      </c>
      <c r="AB297" s="1" t="s">
        <v>2713</v>
      </c>
    </row>
    <row r="298" spans="2:28" x14ac:dyDescent="0.25">
      <c r="B298" s="18" t="s">
        <v>182</v>
      </c>
      <c r="C298" s="25" t="s">
        <v>3846</v>
      </c>
      <c r="D298" s="20" t="s">
        <v>3</v>
      </c>
      <c r="E298" s="22" t="s">
        <v>3</v>
      </c>
      <c r="F298" s="6"/>
      <c r="G298" s="5" t="s">
        <v>3</v>
      </c>
      <c r="H298" s="28"/>
      <c r="I298" s="4"/>
      <c r="J298" s="2"/>
      <c r="K298" s="4"/>
      <c r="L298" s="4"/>
      <c r="M298" s="4"/>
      <c r="N298" s="4"/>
      <c r="O298" s="4"/>
      <c r="P298" s="24"/>
      <c r="Q298" s="4"/>
      <c r="R298" s="4"/>
      <c r="S298" s="4"/>
      <c r="T298" s="4"/>
      <c r="U298" s="24"/>
      <c r="V298" s="4"/>
      <c r="W298" s="2"/>
      <c r="X298" s="2"/>
      <c r="Y298" s="5" t="s">
        <v>3</v>
      </c>
      <c r="Z298" s="5" t="s">
        <v>3</v>
      </c>
      <c r="AA298" s="5" t="s">
        <v>3</v>
      </c>
      <c r="AB298" s="16" t="s">
        <v>3</v>
      </c>
    </row>
    <row r="299" spans="2:28" x14ac:dyDescent="0.25">
      <c r="B299" s="7" t="s">
        <v>2713</v>
      </c>
      <c r="C299" s="1" t="s">
        <v>2713</v>
      </c>
      <c r="D299" s="8" t="s">
        <v>2713</v>
      </c>
      <c r="E299" s="1" t="s">
        <v>2713</v>
      </c>
      <c r="F299" s="1" t="s">
        <v>2713</v>
      </c>
      <c r="G299" s="1" t="s">
        <v>2713</v>
      </c>
      <c r="H299" s="1" t="s">
        <v>2713</v>
      </c>
      <c r="I299" s="1" t="s">
        <v>2713</v>
      </c>
      <c r="J299" s="1" t="s">
        <v>2713</v>
      </c>
      <c r="K299" s="1" t="s">
        <v>2713</v>
      </c>
      <c r="L299" s="1" t="s">
        <v>2713</v>
      </c>
      <c r="M299" s="1" t="s">
        <v>2713</v>
      </c>
      <c r="N299" s="1" t="s">
        <v>2713</v>
      </c>
      <c r="O299" s="1" t="s">
        <v>2713</v>
      </c>
      <c r="P299" s="1" t="s">
        <v>2713</v>
      </c>
      <c r="Q299" s="1" t="s">
        <v>2713</v>
      </c>
      <c r="R299" s="1" t="s">
        <v>2713</v>
      </c>
      <c r="S299" s="1" t="s">
        <v>2713</v>
      </c>
      <c r="T299" s="1" t="s">
        <v>2713</v>
      </c>
      <c r="U299" s="1" t="s">
        <v>2713</v>
      </c>
      <c r="V299" s="1" t="s">
        <v>2713</v>
      </c>
      <c r="W299" s="1" t="s">
        <v>2713</v>
      </c>
      <c r="X299" s="1" t="s">
        <v>2713</v>
      </c>
      <c r="Y299" s="1" t="s">
        <v>2713</v>
      </c>
      <c r="Z299" s="1" t="s">
        <v>2713</v>
      </c>
      <c r="AA299" s="1" t="s">
        <v>2713</v>
      </c>
      <c r="AB299" s="1" t="s">
        <v>2713</v>
      </c>
    </row>
    <row r="300" spans="2:28" ht="41.4" x14ac:dyDescent="0.25">
      <c r="B300" s="21" t="s">
        <v>1908</v>
      </c>
      <c r="C300" s="19" t="s">
        <v>523</v>
      </c>
      <c r="D300" s="17"/>
      <c r="E300" s="2"/>
      <c r="F300" s="2"/>
      <c r="G300" s="2"/>
      <c r="H300" s="2"/>
      <c r="I300" s="3">
        <f>SUM('GMIC_2020-Annu_SCDPT4'!SCDPT4_90BEGIN_7:'GMIC_2020-Annu_SCDPT4'!SCDPT4_90ENDIN_7)</f>
        <v>0</v>
      </c>
      <c r="J300" s="2"/>
      <c r="K300" s="3">
        <f>SUM('GMIC_2020-Annu_SCDPT4'!SCDPT4_90BEGIN_9:'GMIC_2020-Annu_SCDPT4'!SCDPT4_90ENDIN_9)</f>
        <v>0</v>
      </c>
      <c r="L300" s="3">
        <f>SUM('GMIC_2020-Annu_SCDPT4'!SCDPT4_90BEGIN_10:'GMIC_2020-Annu_SCDPT4'!SCDPT4_90ENDIN_10)</f>
        <v>0</v>
      </c>
      <c r="M300" s="3">
        <f>SUM('GMIC_2020-Annu_SCDPT4'!SCDPT4_90BEGIN_11:'GMIC_2020-Annu_SCDPT4'!SCDPT4_90ENDIN_11)</f>
        <v>0</v>
      </c>
      <c r="N300" s="3">
        <f>SUM('GMIC_2020-Annu_SCDPT4'!SCDPT4_90BEGIN_12:'GMIC_2020-Annu_SCDPT4'!SCDPT4_90ENDIN_12)</f>
        <v>0</v>
      </c>
      <c r="O300" s="3">
        <f>SUM('GMIC_2020-Annu_SCDPT4'!SCDPT4_90BEGIN_13:'GMIC_2020-Annu_SCDPT4'!SCDPT4_90ENDIN_13)</f>
        <v>0</v>
      </c>
      <c r="P300" s="3">
        <f>SUM('GMIC_2020-Annu_SCDPT4'!SCDPT4_90BEGIN_14:'GMIC_2020-Annu_SCDPT4'!SCDPT4_90ENDIN_14)</f>
        <v>0</v>
      </c>
      <c r="Q300" s="3">
        <f>SUM('GMIC_2020-Annu_SCDPT4'!SCDPT4_90BEGIN_15:'GMIC_2020-Annu_SCDPT4'!SCDPT4_90ENDIN_15)</f>
        <v>0</v>
      </c>
      <c r="R300" s="3">
        <f>SUM('GMIC_2020-Annu_SCDPT4'!SCDPT4_90BEGIN_16:'GMIC_2020-Annu_SCDPT4'!SCDPT4_90ENDIN_16)</f>
        <v>0</v>
      </c>
      <c r="S300" s="3">
        <f>SUM('GMIC_2020-Annu_SCDPT4'!SCDPT4_90BEGIN_17:'GMIC_2020-Annu_SCDPT4'!SCDPT4_90ENDIN_17)</f>
        <v>0</v>
      </c>
      <c r="T300" s="3">
        <f>SUM('GMIC_2020-Annu_SCDPT4'!SCDPT4_90BEGIN_18:'GMIC_2020-Annu_SCDPT4'!SCDPT4_90ENDIN_18)</f>
        <v>0</v>
      </c>
      <c r="U300" s="3">
        <f>SUM('GMIC_2020-Annu_SCDPT4'!SCDPT4_90BEGIN_19:'GMIC_2020-Annu_SCDPT4'!SCDPT4_90ENDIN_19)</f>
        <v>0</v>
      </c>
      <c r="V300" s="3">
        <f>SUM('GMIC_2020-Annu_SCDPT4'!SCDPT4_90BEGIN_20:'GMIC_2020-Annu_SCDPT4'!SCDPT4_90ENDIN_20)</f>
        <v>0</v>
      </c>
      <c r="W300" s="2"/>
      <c r="X300" s="2"/>
      <c r="Y300" s="2"/>
      <c r="Z300" s="2"/>
      <c r="AA300" s="2"/>
      <c r="AB300" s="2"/>
    </row>
    <row r="301" spans="2:28" x14ac:dyDescent="0.25">
      <c r="B301" s="7" t="s">
        <v>2713</v>
      </c>
      <c r="C301" s="1" t="s">
        <v>2713</v>
      </c>
      <c r="D301" s="8" t="s">
        <v>2713</v>
      </c>
      <c r="E301" s="1" t="s">
        <v>2713</v>
      </c>
      <c r="F301" s="1" t="s">
        <v>2713</v>
      </c>
      <c r="G301" s="1" t="s">
        <v>2713</v>
      </c>
      <c r="H301" s="1" t="s">
        <v>2713</v>
      </c>
      <c r="I301" s="1" t="s">
        <v>2713</v>
      </c>
      <c r="J301" s="1" t="s">
        <v>2713</v>
      </c>
      <c r="K301" s="1" t="s">
        <v>2713</v>
      </c>
      <c r="L301" s="1" t="s">
        <v>2713</v>
      </c>
      <c r="M301" s="1" t="s">
        <v>2713</v>
      </c>
      <c r="N301" s="1" t="s">
        <v>2713</v>
      </c>
      <c r="O301" s="1" t="s">
        <v>2713</v>
      </c>
      <c r="P301" s="1" t="s">
        <v>2713</v>
      </c>
      <c r="Q301" s="1" t="s">
        <v>2713</v>
      </c>
      <c r="R301" s="1" t="s">
        <v>2713</v>
      </c>
      <c r="S301" s="1" t="s">
        <v>2713</v>
      </c>
      <c r="T301" s="1" t="s">
        <v>2713</v>
      </c>
      <c r="U301" s="1" t="s">
        <v>2713</v>
      </c>
      <c r="V301" s="1" t="s">
        <v>2713</v>
      </c>
      <c r="W301" s="1" t="s">
        <v>2713</v>
      </c>
      <c r="X301" s="1" t="s">
        <v>2713</v>
      </c>
      <c r="Y301" s="1" t="s">
        <v>2713</v>
      </c>
      <c r="Z301" s="1" t="s">
        <v>2713</v>
      </c>
      <c r="AA301" s="1" t="s">
        <v>2713</v>
      </c>
      <c r="AB301" s="1" t="s">
        <v>2713</v>
      </c>
    </row>
    <row r="302" spans="2:28" x14ac:dyDescent="0.25">
      <c r="B302" s="18" t="s">
        <v>4115</v>
      </c>
      <c r="C302" s="25" t="s">
        <v>3846</v>
      </c>
      <c r="D302" s="20" t="s">
        <v>3</v>
      </c>
      <c r="E302" s="22" t="s">
        <v>3</v>
      </c>
      <c r="F302" s="6"/>
      <c r="G302" s="5" t="s">
        <v>3</v>
      </c>
      <c r="H302" s="28"/>
      <c r="I302" s="4"/>
      <c r="J302" s="2"/>
      <c r="K302" s="4"/>
      <c r="L302" s="4"/>
      <c r="M302" s="4"/>
      <c r="N302" s="4"/>
      <c r="O302" s="4"/>
      <c r="P302" s="24"/>
      <c r="Q302" s="4"/>
      <c r="R302" s="4"/>
      <c r="S302" s="4"/>
      <c r="T302" s="4"/>
      <c r="U302" s="24"/>
      <c r="V302" s="4"/>
      <c r="W302" s="2"/>
      <c r="X302" s="2"/>
      <c r="Y302" s="5" t="s">
        <v>3</v>
      </c>
      <c r="Z302" s="5" t="s">
        <v>3</v>
      </c>
      <c r="AA302" s="5" t="s">
        <v>3</v>
      </c>
      <c r="AB302" s="16" t="s">
        <v>3</v>
      </c>
    </row>
    <row r="303" spans="2:28" x14ac:dyDescent="0.25">
      <c r="B303" s="7" t="s">
        <v>2713</v>
      </c>
      <c r="C303" s="1" t="s">
        <v>2713</v>
      </c>
      <c r="D303" s="8" t="s">
        <v>2713</v>
      </c>
      <c r="E303" s="1" t="s">
        <v>2713</v>
      </c>
      <c r="F303" s="1" t="s">
        <v>2713</v>
      </c>
      <c r="G303" s="1" t="s">
        <v>2713</v>
      </c>
      <c r="H303" s="1" t="s">
        <v>2713</v>
      </c>
      <c r="I303" s="1" t="s">
        <v>2713</v>
      </c>
      <c r="J303" s="1" t="s">
        <v>2713</v>
      </c>
      <c r="K303" s="1" t="s">
        <v>2713</v>
      </c>
      <c r="L303" s="1" t="s">
        <v>2713</v>
      </c>
      <c r="M303" s="1" t="s">
        <v>2713</v>
      </c>
      <c r="N303" s="1" t="s">
        <v>2713</v>
      </c>
      <c r="O303" s="1" t="s">
        <v>2713</v>
      </c>
      <c r="P303" s="1" t="s">
        <v>2713</v>
      </c>
      <c r="Q303" s="1" t="s">
        <v>2713</v>
      </c>
      <c r="R303" s="1" t="s">
        <v>2713</v>
      </c>
      <c r="S303" s="1" t="s">
        <v>2713</v>
      </c>
      <c r="T303" s="1" t="s">
        <v>2713</v>
      </c>
      <c r="U303" s="1" t="s">
        <v>2713</v>
      </c>
      <c r="V303" s="1" t="s">
        <v>2713</v>
      </c>
      <c r="W303" s="1" t="s">
        <v>2713</v>
      </c>
      <c r="X303" s="1" t="s">
        <v>2713</v>
      </c>
      <c r="Y303" s="1" t="s">
        <v>2713</v>
      </c>
      <c r="Z303" s="1" t="s">
        <v>2713</v>
      </c>
      <c r="AA303" s="1" t="s">
        <v>2713</v>
      </c>
      <c r="AB303" s="1" t="s">
        <v>2713</v>
      </c>
    </row>
    <row r="304" spans="2:28" ht="41.4" x14ac:dyDescent="0.25">
      <c r="B304" s="21" t="s">
        <v>1099</v>
      </c>
      <c r="C304" s="19" t="s">
        <v>3031</v>
      </c>
      <c r="D304" s="17"/>
      <c r="E304" s="2"/>
      <c r="F304" s="2"/>
      <c r="G304" s="2"/>
      <c r="H304" s="2"/>
      <c r="I304" s="3">
        <f>SUM('GMIC_2020-Annu_SCDPT4'!SCDPT4_91BEGIN_7:'GMIC_2020-Annu_SCDPT4'!SCDPT4_91ENDIN_7)</f>
        <v>0</v>
      </c>
      <c r="J304" s="2"/>
      <c r="K304" s="3">
        <f>SUM('GMIC_2020-Annu_SCDPT4'!SCDPT4_91BEGIN_9:'GMIC_2020-Annu_SCDPT4'!SCDPT4_91ENDIN_9)</f>
        <v>0</v>
      </c>
      <c r="L304" s="3">
        <f>SUM('GMIC_2020-Annu_SCDPT4'!SCDPT4_91BEGIN_10:'GMIC_2020-Annu_SCDPT4'!SCDPT4_91ENDIN_10)</f>
        <v>0</v>
      </c>
      <c r="M304" s="3">
        <f>SUM('GMIC_2020-Annu_SCDPT4'!SCDPT4_91BEGIN_11:'GMIC_2020-Annu_SCDPT4'!SCDPT4_91ENDIN_11)</f>
        <v>0</v>
      </c>
      <c r="N304" s="3">
        <f>SUM('GMIC_2020-Annu_SCDPT4'!SCDPT4_91BEGIN_12:'GMIC_2020-Annu_SCDPT4'!SCDPT4_91ENDIN_12)</f>
        <v>0</v>
      </c>
      <c r="O304" s="3">
        <f>SUM('GMIC_2020-Annu_SCDPT4'!SCDPT4_91BEGIN_13:'GMIC_2020-Annu_SCDPT4'!SCDPT4_91ENDIN_13)</f>
        <v>0</v>
      </c>
      <c r="P304" s="3">
        <f>SUM('GMIC_2020-Annu_SCDPT4'!SCDPT4_91BEGIN_14:'GMIC_2020-Annu_SCDPT4'!SCDPT4_91ENDIN_14)</f>
        <v>0</v>
      </c>
      <c r="Q304" s="3">
        <f>SUM('GMIC_2020-Annu_SCDPT4'!SCDPT4_91BEGIN_15:'GMIC_2020-Annu_SCDPT4'!SCDPT4_91ENDIN_15)</f>
        <v>0</v>
      </c>
      <c r="R304" s="3">
        <f>SUM('GMIC_2020-Annu_SCDPT4'!SCDPT4_91BEGIN_16:'GMIC_2020-Annu_SCDPT4'!SCDPT4_91ENDIN_16)</f>
        <v>0</v>
      </c>
      <c r="S304" s="3">
        <f>SUM('GMIC_2020-Annu_SCDPT4'!SCDPT4_91BEGIN_17:'GMIC_2020-Annu_SCDPT4'!SCDPT4_91ENDIN_17)</f>
        <v>0</v>
      </c>
      <c r="T304" s="3">
        <f>SUM('GMIC_2020-Annu_SCDPT4'!SCDPT4_91BEGIN_18:'GMIC_2020-Annu_SCDPT4'!SCDPT4_91ENDIN_18)</f>
        <v>0</v>
      </c>
      <c r="U304" s="3">
        <f>SUM('GMIC_2020-Annu_SCDPT4'!SCDPT4_91BEGIN_19:'GMIC_2020-Annu_SCDPT4'!SCDPT4_91ENDIN_19)</f>
        <v>0</v>
      </c>
      <c r="V304" s="3">
        <f>SUM('GMIC_2020-Annu_SCDPT4'!SCDPT4_91BEGIN_20:'GMIC_2020-Annu_SCDPT4'!SCDPT4_91ENDIN_20)</f>
        <v>0</v>
      </c>
      <c r="W304" s="2"/>
      <c r="X304" s="2"/>
      <c r="Y304" s="2"/>
      <c r="Z304" s="2"/>
      <c r="AA304" s="2"/>
      <c r="AB304" s="2"/>
    </row>
    <row r="305" spans="2:28" x14ac:dyDescent="0.25">
      <c r="B305" s="7" t="s">
        <v>2713</v>
      </c>
      <c r="C305" s="1" t="s">
        <v>2713</v>
      </c>
      <c r="D305" s="8" t="s">
        <v>2713</v>
      </c>
      <c r="E305" s="1" t="s">
        <v>2713</v>
      </c>
      <c r="F305" s="1" t="s">
        <v>2713</v>
      </c>
      <c r="G305" s="1" t="s">
        <v>2713</v>
      </c>
      <c r="H305" s="1" t="s">
        <v>2713</v>
      </c>
      <c r="I305" s="1" t="s">
        <v>2713</v>
      </c>
      <c r="J305" s="1" t="s">
        <v>2713</v>
      </c>
      <c r="K305" s="1" t="s">
        <v>2713</v>
      </c>
      <c r="L305" s="1" t="s">
        <v>2713</v>
      </c>
      <c r="M305" s="1" t="s">
        <v>2713</v>
      </c>
      <c r="N305" s="1" t="s">
        <v>2713</v>
      </c>
      <c r="O305" s="1" t="s">
        <v>2713</v>
      </c>
      <c r="P305" s="1" t="s">
        <v>2713</v>
      </c>
      <c r="Q305" s="1" t="s">
        <v>2713</v>
      </c>
      <c r="R305" s="1" t="s">
        <v>2713</v>
      </c>
      <c r="S305" s="1" t="s">
        <v>2713</v>
      </c>
      <c r="T305" s="1" t="s">
        <v>2713</v>
      </c>
      <c r="U305" s="1" t="s">
        <v>2713</v>
      </c>
      <c r="V305" s="1" t="s">
        <v>2713</v>
      </c>
      <c r="W305" s="1" t="s">
        <v>2713</v>
      </c>
      <c r="X305" s="1" t="s">
        <v>2713</v>
      </c>
      <c r="Y305" s="1" t="s">
        <v>2713</v>
      </c>
      <c r="Z305" s="1" t="s">
        <v>2713</v>
      </c>
      <c r="AA305" s="1" t="s">
        <v>2713</v>
      </c>
      <c r="AB305" s="1" t="s">
        <v>2713</v>
      </c>
    </row>
    <row r="306" spans="2:28" x14ac:dyDescent="0.25">
      <c r="B306" s="18" t="s">
        <v>3259</v>
      </c>
      <c r="C306" s="25" t="s">
        <v>3846</v>
      </c>
      <c r="D306" s="20" t="s">
        <v>3</v>
      </c>
      <c r="E306" s="22" t="s">
        <v>3</v>
      </c>
      <c r="F306" s="6"/>
      <c r="G306" s="5" t="s">
        <v>3</v>
      </c>
      <c r="H306" s="28"/>
      <c r="I306" s="4"/>
      <c r="J306" s="2"/>
      <c r="K306" s="4"/>
      <c r="L306" s="4"/>
      <c r="M306" s="4"/>
      <c r="N306" s="4"/>
      <c r="O306" s="4"/>
      <c r="P306" s="24"/>
      <c r="Q306" s="4"/>
      <c r="R306" s="4"/>
      <c r="S306" s="4"/>
      <c r="T306" s="4"/>
      <c r="U306" s="24"/>
      <c r="V306" s="4"/>
      <c r="W306" s="2"/>
      <c r="X306" s="2"/>
      <c r="Y306" s="5" t="s">
        <v>3</v>
      </c>
      <c r="Z306" s="5" t="s">
        <v>3</v>
      </c>
      <c r="AA306" s="5" t="s">
        <v>3</v>
      </c>
      <c r="AB306" s="16" t="s">
        <v>3</v>
      </c>
    </row>
    <row r="307" spans="2:28" x14ac:dyDescent="0.25">
      <c r="B307" s="7" t="s">
        <v>2713</v>
      </c>
      <c r="C307" s="1" t="s">
        <v>2713</v>
      </c>
      <c r="D307" s="8" t="s">
        <v>2713</v>
      </c>
      <c r="E307" s="1" t="s">
        <v>2713</v>
      </c>
      <c r="F307" s="1" t="s">
        <v>2713</v>
      </c>
      <c r="G307" s="1" t="s">
        <v>2713</v>
      </c>
      <c r="H307" s="1" t="s">
        <v>2713</v>
      </c>
      <c r="I307" s="1" t="s">
        <v>2713</v>
      </c>
      <c r="J307" s="1" t="s">
        <v>2713</v>
      </c>
      <c r="K307" s="1" t="s">
        <v>2713</v>
      </c>
      <c r="L307" s="1" t="s">
        <v>2713</v>
      </c>
      <c r="M307" s="1" t="s">
        <v>2713</v>
      </c>
      <c r="N307" s="1" t="s">
        <v>2713</v>
      </c>
      <c r="O307" s="1" t="s">
        <v>2713</v>
      </c>
      <c r="P307" s="1" t="s">
        <v>2713</v>
      </c>
      <c r="Q307" s="1" t="s">
        <v>2713</v>
      </c>
      <c r="R307" s="1" t="s">
        <v>2713</v>
      </c>
      <c r="S307" s="1" t="s">
        <v>2713</v>
      </c>
      <c r="T307" s="1" t="s">
        <v>2713</v>
      </c>
      <c r="U307" s="1" t="s">
        <v>2713</v>
      </c>
      <c r="V307" s="1" t="s">
        <v>2713</v>
      </c>
      <c r="W307" s="1" t="s">
        <v>2713</v>
      </c>
      <c r="X307" s="1" t="s">
        <v>2713</v>
      </c>
      <c r="Y307" s="1" t="s">
        <v>2713</v>
      </c>
      <c r="Z307" s="1" t="s">
        <v>2713</v>
      </c>
      <c r="AA307" s="1" t="s">
        <v>2713</v>
      </c>
      <c r="AB307" s="1" t="s">
        <v>2713</v>
      </c>
    </row>
    <row r="308" spans="2:28" ht="41.4" x14ac:dyDescent="0.25">
      <c r="B308" s="21" t="s">
        <v>183</v>
      </c>
      <c r="C308" s="19" t="s">
        <v>3032</v>
      </c>
      <c r="D308" s="17"/>
      <c r="E308" s="2"/>
      <c r="F308" s="2"/>
      <c r="G308" s="2"/>
      <c r="H308" s="2"/>
      <c r="I308" s="3">
        <f>SUM('GMIC_2020-Annu_SCDPT4'!SCDPT4_92BEGIN_7:'GMIC_2020-Annu_SCDPT4'!SCDPT4_92ENDIN_7)</f>
        <v>0</v>
      </c>
      <c r="J308" s="2"/>
      <c r="K308" s="3">
        <f>SUM('GMIC_2020-Annu_SCDPT4'!SCDPT4_92BEGIN_9:'GMIC_2020-Annu_SCDPT4'!SCDPT4_92ENDIN_9)</f>
        <v>0</v>
      </c>
      <c r="L308" s="3">
        <f>SUM('GMIC_2020-Annu_SCDPT4'!SCDPT4_92BEGIN_10:'GMIC_2020-Annu_SCDPT4'!SCDPT4_92ENDIN_10)</f>
        <v>0</v>
      </c>
      <c r="M308" s="3">
        <f>SUM('GMIC_2020-Annu_SCDPT4'!SCDPT4_92BEGIN_11:'GMIC_2020-Annu_SCDPT4'!SCDPT4_92ENDIN_11)</f>
        <v>0</v>
      </c>
      <c r="N308" s="3">
        <f>SUM('GMIC_2020-Annu_SCDPT4'!SCDPT4_92BEGIN_12:'GMIC_2020-Annu_SCDPT4'!SCDPT4_92ENDIN_12)</f>
        <v>0</v>
      </c>
      <c r="O308" s="3">
        <f>SUM('GMIC_2020-Annu_SCDPT4'!SCDPT4_92BEGIN_13:'GMIC_2020-Annu_SCDPT4'!SCDPT4_92ENDIN_13)</f>
        <v>0</v>
      </c>
      <c r="P308" s="3">
        <f>SUM('GMIC_2020-Annu_SCDPT4'!SCDPT4_92BEGIN_14:'GMIC_2020-Annu_SCDPT4'!SCDPT4_92ENDIN_14)</f>
        <v>0</v>
      </c>
      <c r="Q308" s="3">
        <f>SUM('GMIC_2020-Annu_SCDPT4'!SCDPT4_92BEGIN_15:'GMIC_2020-Annu_SCDPT4'!SCDPT4_92ENDIN_15)</f>
        <v>0</v>
      </c>
      <c r="R308" s="3">
        <f>SUM('GMIC_2020-Annu_SCDPT4'!SCDPT4_92BEGIN_16:'GMIC_2020-Annu_SCDPT4'!SCDPT4_92ENDIN_16)</f>
        <v>0</v>
      </c>
      <c r="S308" s="3">
        <f>SUM('GMIC_2020-Annu_SCDPT4'!SCDPT4_92BEGIN_17:'GMIC_2020-Annu_SCDPT4'!SCDPT4_92ENDIN_17)</f>
        <v>0</v>
      </c>
      <c r="T308" s="3">
        <f>SUM('GMIC_2020-Annu_SCDPT4'!SCDPT4_92BEGIN_18:'GMIC_2020-Annu_SCDPT4'!SCDPT4_92ENDIN_18)</f>
        <v>0</v>
      </c>
      <c r="U308" s="3">
        <f>SUM('GMIC_2020-Annu_SCDPT4'!SCDPT4_92BEGIN_19:'GMIC_2020-Annu_SCDPT4'!SCDPT4_92ENDIN_19)</f>
        <v>0</v>
      </c>
      <c r="V308" s="3">
        <f>SUM('GMIC_2020-Annu_SCDPT4'!SCDPT4_92BEGIN_20:'GMIC_2020-Annu_SCDPT4'!SCDPT4_92ENDIN_20)</f>
        <v>0</v>
      </c>
      <c r="W308" s="2"/>
      <c r="X308" s="2"/>
      <c r="Y308" s="2"/>
      <c r="Z308" s="2"/>
      <c r="AA308" s="2"/>
      <c r="AB308" s="2"/>
    </row>
    <row r="309" spans="2:28" x14ac:dyDescent="0.25">
      <c r="B309" s="7" t="s">
        <v>2713</v>
      </c>
      <c r="C309" s="1" t="s">
        <v>2713</v>
      </c>
      <c r="D309" s="8" t="s">
        <v>2713</v>
      </c>
      <c r="E309" s="1" t="s">
        <v>2713</v>
      </c>
      <c r="F309" s="1" t="s">
        <v>2713</v>
      </c>
      <c r="G309" s="1" t="s">
        <v>2713</v>
      </c>
      <c r="H309" s="1" t="s">
        <v>2713</v>
      </c>
      <c r="I309" s="1" t="s">
        <v>2713</v>
      </c>
      <c r="J309" s="1" t="s">
        <v>2713</v>
      </c>
      <c r="K309" s="1" t="s">
        <v>2713</v>
      </c>
      <c r="L309" s="1" t="s">
        <v>2713</v>
      </c>
      <c r="M309" s="1" t="s">
        <v>2713</v>
      </c>
      <c r="N309" s="1" t="s">
        <v>2713</v>
      </c>
      <c r="O309" s="1" t="s">
        <v>2713</v>
      </c>
      <c r="P309" s="1" t="s">
        <v>2713</v>
      </c>
      <c r="Q309" s="1" t="s">
        <v>2713</v>
      </c>
      <c r="R309" s="1" t="s">
        <v>2713</v>
      </c>
      <c r="S309" s="1" t="s">
        <v>2713</v>
      </c>
      <c r="T309" s="1" t="s">
        <v>2713</v>
      </c>
      <c r="U309" s="1" t="s">
        <v>2713</v>
      </c>
      <c r="V309" s="1" t="s">
        <v>2713</v>
      </c>
      <c r="W309" s="1" t="s">
        <v>2713</v>
      </c>
      <c r="X309" s="1" t="s">
        <v>2713</v>
      </c>
      <c r="Y309" s="1" t="s">
        <v>2713</v>
      </c>
      <c r="Z309" s="1" t="s">
        <v>2713</v>
      </c>
      <c r="AA309" s="1" t="s">
        <v>2713</v>
      </c>
      <c r="AB309" s="1" t="s">
        <v>2713</v>
      </c>
    </row>
    <row r="310" spans="2:28" x14ac:dyDescent="0.25">
      <c r="B310" s="18" t="s">
        <v>2394</v>
      </c>
      <c r="C310" s="25" t="s">
        <v>3846</v>
      </c>
      <c r="D310" s="20" t="s">
        <v>3</v>
      </c>
      <c r="E310" s="22" t="s">
        <v>3</v>
      </c>
      <c r="F310" s="6"/>
      <c r="G310" s="5" t="s">
        <v>3</v>
      </c>
      <c r="H310" s="28"/>
      <c r="I310" s="4"/>
      <c r="J310" s="2"/>
      <c r="K310" s="4"/>
      <c r="L310" s="4"/>
      <c r="M310" s="4"/>
      <c r="N310" s="4"/>
      <c r="O310" s="4"/>
      <c r="P310" s="24"/>
      <c r="Q310" s="4"/>
      <c r="R310" s="4"/>
      <c r="S310" s="4"/>
      <c r="T310" s="4"/>
      <c r="U310" s="24"/>
      <c r="V310" s="4"/>
      <c r="W310" s="2"/>
      <c r="X310" s="2"/>
      <c r="Y310" s="5" t="s">
        <v>3</v>
      </c>
      <c r="Z310" s="5" t="s">
        <v>3</v>
      </c>
      <c r="AA310" s="5" t="s">
        <v>3</v>
      </c>
      <c r="AB310" s="16" t="s">
        <v>3</v>
      </c>
    </row>
    <row r="311" spans="2:28" x14ac:dyDescent="0.25">
      <c r="B311" s="7" t="s">
        <v>2713</v>
      </c>
      <c r="C311" s="1" t="s">
        <v>2713</v>
      </c>
      <c r="D311" s="8" t="s">
        <v>2713</v>
      </c>
      <c r="E311" s="1" t="s">
        <v>2713</v>
      </c>
      <c r="F311" s="1" t="s">
        <v>2713</v>
      </c>
      <c r="G311" s="1" t="s">
        <v>2713</v>
      </c>
      <c r="H311" s="1" t="s">
        <v>2713</v>
      </c>
      <c r="I311" s="1" t="s">
        <v>2713</v>
      </c>
      <c r="J311" s="1" t="s">
        <v>2713</v>
      </c>
      <c r="K311" s="1" t="s">
        <v>2713</v>
      </c>
      <c r="L311" s="1" t="s">
        <v>2713</v>
      </c>
      <c r="M311" s="1" t="s">
        <v>2713</v>
      </c>
      <c r="N311" s="1" t="s">
        <v>2713</v>
      </c>
      <c r="O311" s="1" t="s">
        <v>2713</v>
      </c>
      <c r="P311" s="1" t="s">
        <v>2713</v>
      </c>
      <c r="Q311" s="1" t="s">
        <v>2713</v>
      </c>
      <c r="R311" s="1" t="s">
        <v>2713</v>
      </c>
      <c r="S311" s="1" t="s">
        <v>2713</v>
      </c>
      <c r="T311" s="1" t="s">
        <v>2713</v>
      </c>
      <c r="U311" s="1" t="s">
        <v>2713</v>
      </c>
      <c r="V311" s="1" t="s">
        <v>2713</v>
      </c>
      <c r="W311" s="1" t="s">
        <v>2713</v>
      </c>
      <c r="X311" s="1" t="s">
        <v>2713</v>
      </c>
      <c r="Y311" s="1" t="s">
        <v>2713</v>
      </c>
      <c r="Z311" s="1" t="s">
        <v>2713</v>
      </c>
      <c r="AA311" s="1" t="s">
        <v>2713</v>
      </c>
      <c r="AB311" s="1" t="s">
        <v>2713</v>
      </c>
    </row>
    <row r="312" spans="2:28" ht="41.4" x14ac:dyDescent="0.25">
      <c r="B312" s="21" t="s">
        <v>3753</v>
      </c>
      <c r="C312" s="19" t="s">
        <v>3498</v>
      </c>
      <c r="D312" s="17"/>
      <c r="E312" s="2"/>
      <c r="F312" s="2"/>
      <c r="G312" s="2"/>
      <c r="H312" s="2"/>
      <c r="I312" s="3">
        <f>SUM('GMIC_2020-Annu_SCDPT4'!SCDPT4_93BEGIN_7:'GMIC_2020-Annu_SCDPT4'!SCDPT4_93ENDIN_7)</f>
        <v>0</v>
      </c>
      <c r="J312" s="2"/>
      <c r="K312" s="3">
        <f>SUM('GMIC_2020-Annu_SCDPT4'!SCDPT4_93BEGIN_9:'GMIC_2020-Annu_SCDPT4'!SCDPT4_93ENDIN_9)</f>
        <v>0</v>
      </c>
      <c r="L312" s="3">
        <f>SUM('GMIC_2020-Annu_SCDPT4'!SCDPT4_93BEGIN_10:'GMIC_2020-Annu_SCDPT4'!SCDPT4_93ENDIN_10)</f>
        <v>0</v>
      </c>
      <c r="M312" s="3">
        <f>SUM('GMIC_2020-Annu_SCDPT4'!SCDPT4_93BEGIN_11:'GMIC_2020-Annu_SCDPT4'!SCDPT4_93ENDIN_11)</f>
        <v>0</v>
      </c>
      <c r="N312" s="3">
        <f>SUM('GMIC_2020-Annu_SCDPT4'!SCDPT4_93BEGIN_12:'GMIC_2020-Annu_SCDPT4'!SCDPT4_93ENDIN_12)</f>
        <v>0</v>
      </c>
      <c r="O312" s="3">
        <f>SUM('GMIC_2020-Annu_SCDPT4'!SCDPT4_93BEGIN_13:'GMIC_2020-Annu_SCDPT4'!SCDPT4_93ENDIN_13)</f>
        <v>0</v>
      </c>
      <c r="P312" s="3">
        <f>SUM('GMIC_2020-Annu_SCDPT4'!SCDPT4_93BEGIN_14:'GMIC_2020-Annu_SCDPT4'!SCDPT4_93ENDIN_14)</f>
        <v>0</v>
      </c>
      <c r="Q312" s="3">
        <f>SUM('GMIC_2020-Annu_SCDPT4'!SCDPT4_93BEGIN_15:'GMIC_2020-Annu_SCDPT4'!SCDPT4_93ENDIN_15)</f>
        <v>0</v>
      </c>
      <c r="R312" s="3">
        <f>SUM('GMIC_2020-Annu_SCDPT4'!SCDPT4_93BEGIN_16:'GMIC_2020-Annu_SCDPT4'!SCDPT4_93ENDIN_16)</f>
        <v>0</v>
      </c>
      <c r="S312" s="3">
        <f>SUM('GMIC_2020-Annu_SCDPT4'!SCDPT4_93BEGIN_17:'GMIC_2020-Annu_SCDPT4'!SCDPT4_93ENDIN_17)</f>
        <v>0</v>
      </c>
      <c r="T312" s="3">
        <f>SUM('GMIC_2020-Annu_SCDPT4'!SCDPT4_93BEGIN_18:'GMIC_2020-Annu_SCDPT4'!SCDPT4_93ENDIN_18)</f>
        <v>0</v>
      </c>
      <c r="U312" s="3">
        <f>SUM('GMIC_2020-Annu_SCDPT4'!SCDPT4_93BEGIN_19:'GMIC_2020-Annu_SCDPT4'!SCDPT4_93ENDIN_19)</f>
        <v>0</v>
      </c>
      <c r="V312" s="3">
        <f>SUM('GMIC_2020-Annu_SCDPT4'!SCDPT4_93BEGIN_20:'GMIC_2020-Annu_SCDPT4'!SCDPT4_93ENDIN_20)</f>
        <v>0</v>
      </c>
      <c r="W312" s="2"/>
      <c r="X312" s="2"/>
      <c r="Y312" s="2"/>
      <c r="Z312" s="2"/>
      <c r="AA312" s="2"/>
      <c r="AB312" s="2"/>
    </row>
    <row r="313" spans="2:28" x14ac:dyDescent="0.25">
      <c r="B313" s="7" t="s">
        <v>2713</v>
      </c>
      <c r="C313" s="1" t="s">
        <v>2713</v>
      </c>
      <c r="D313" s="8" t="s">
        <v>2713</v>
      </c>
      <c r="E313" s="1" t="s">
        <v>2713</v>
      </c>
      <c r="F313" s="1" t="s">
        <v>2713</v>
      </c>
      <c r="G313" s="1" t="s">
        <v>2713</v>
      </c>
      <c r="H313" s="1" t="s">
        <v>2713</v>
      </c>
      <c r="I313" s="1" t="s">
        <v>2713</v>
      </c>
      <c r="J313" s="1" t="s">
        <v>2713</v>
      </c>
      <c r="K313" s="1" t="s">
        <v>2713</v>
      </c>
      <c r="L313" s="1" t="s">
        <v>2713</v>
      </c>
      <c r="M313" s="1" t="s">
        <v>2713</v>
      </c>
      <c r="N313" s="1" t="s">
        <v>2713</v>
      </c>
      <c r="O313" s="1" t="s">
        <v>2713</v>
      </c>
      <c r="P313" s="1" t="s">
        <v>2713</v>
      </c>
      <c r="Q313" s="1" t="s">
        <v>2713</v>
      </c>
      <c r="R313" s="1" t="s">
        <v>2713</v>
      </c>
      <c r="S313" s="1" t="s">
        <v>2713</v>
      </c>
      <c r="T313" s="1" t="s">
        <v>2713</v>
      </c>
      <c r="U313" s="1" t="s">
        <v>2713</v>
      </c>
      <c r="V313" s="1" t="s">
        <v>2713</v>
      </c>
      <c r="W313" s="1" t="s">
        <v>2713</v>
      </c>
      <c r="X313" s="1" t="s">
        <v>2713</v>
      </c>
      <c r="Y313" s="1" t="s">
        <v>2713</v>
      </c>
      <c r="Z313" s="1" t="s">
        <v>2713</v>
      </c>
      <c r="AA313" s="1" t="s">
        <v>2713</v>
      </c>
      <c r="AB313" s="1" t="s">
        <v>2713</v>
      </c>
    </row>
    <row r="314" spans="2:28" x14ac:dyDescent="0.25">
      <c r="B314" s="18" t="s">
        <v>1548</v>
      </c>
      <c r="C314" s="25" t="s">
        <v>3846</v>
      </c>
      <c r="D314" s="20" t="s">
        <v>3</v>
      </c>
      <c r="E314" s="22" t="s">
        <v>3</v>
      </c>
      <c r="F314" s="6"/>
      <c r="G314" s="5" t="s">
        <v>3</v>
      </c>
      <c r="H314" s="28"/>
      <c r="I314" s="4"/>
      <c r="J314" s="2"/>
      <c r="K314" s="4"/>
      <c r="L314" s="4"/>
      <c r="M314" s="4"/>
      <c r="N314" s="4"/>
      <c r="O314" s="4"/>
      <c r="P314" s="24"/>
      <c r="Q314" s="4"/>
      <c r="R314" s="4"/>
      <c r="S314" s="4"/>
      <c r="T314" s="4"/>
      <c r="U314" s="24"/>
      <c r="V314" s="4"/>
      <c r="W314" s="2"/>
      <c r="X314" s="2"/>
      <c r="Y314" s="5" t="s">
        <v>3</v>
      </c>
      <c r="Z314" s="5" t="s">
        <v>3</v>
      </c>
      <c r="AA314" s="5" t="s">
        <v>3</v>
      </c>
      <c r="AB314" s="16" t="s">
        <v>3</v>
      </c>
    </row>
    <row r="315" spans="2:28" x14ac:dyDescent="0.25">
      <c r="B315" s="7" t="s">
        <v>2713</v>
      </c>
      <c r="C315" s="1" t="s">
        <v>2713</v>
      </c>
      <c r="D315" s="8" t="s">
        <v>2713</v>
      </c>
      <c r="E315" s="1" t="s">
        <v>2713</v>
      </c>
      <c r="F315" s="1" t="s">
        <v>2713</v>
      </c>
      <c r="G315" s="1" t="s">
        <v>2713</v>
      </c>
      <c r="H315" s="1" t="s">
        <v>2713</v>
      </c>
      <c r="I315" s="1" t="s">
        <v>2713</v>
      </c>
      <c r="J315" s="1" t="s">
        <v>2713</v>
      </c>
      <c r="K315" s="1" t="s">
        <v>2713</v>
      </c>
      <c r="L315" s="1" t="s">
        <v>2713</v>
      </c>
      <c r="M315" s="1" t="s">
        <v>2713</v>
      </c>
      <c r="N315" s="1" t="s">
        <v>2713</v>
      </c>
      <c r="O315" s="1" t="s">
        <v>2713</v>
      </c>
      <c r="P315" s="1" t="s">
        <v>2713</v>
      </c>
      <c r="Q315" s="1" t="s">
        <v>2713</v>
      </c>
      <c r="R315" s="1" t="s">
        <v>2713</v>
      </c>
      <c r="S315" s="1" t="s">
        <v>2713</v>
      </c>
      <c r="T315" s="1" t="s">
        <v>2713</v>
      </c>
      <c r="U315" s="1" t="s">
        <v>2713</v>
      </c>
      <c r="V315" s="1" t="s">
        <v>2713</v>
      </c>
      <c r="W315" s="1" t="s">
        <v>2713</v>
      </c>
      <c r="X315" s="1" t="s">
        <v>2713</v>
      </c>
      <c r="Y315" s="1" t="s">
        <v>2713</v>
      </c>
      <c r="Z315" s="1" t="s">
        <v>2713</v>
      </c>
      <c r="AA315" s="1" t="s">
        <v>2713</v>
      </c>
      <c r="AB315" s="1" t="s">
        <v>2713</v>
      </c>
    </row>
    <row r="316" spans="2:28" ht="27.6" x14ac:dyDescent="0.25">
      <c r="B316" s="21" t="s">
        <v>3260</v>
      </c>
      <c r="C316" s="19" t="s">
        <v>3033</v>
      </c>
      <c r="D316" s="17"/>
      <c r="E316" s="2"/>
      <c r="F316" s="2"/>
      <c r="G316" s="2"/>
      <c r="H316" s="2"/>
      <c r="I316" s="3">
        <f>SUM('GMIC_2020-Annu_SCDPT4'!SCDPT4_94BEGIN_7:'GMIC_2020-Annu_SCDPT4'!SCDPT4_94ENDIN_7)</f>
        <v>0</v>
      </c>
      <c r="J316" s="2"/>
      <c r="K316" s="3">
        <f>SUM('GMIC_2020-Annu_SCDPT4'!SCDPT4_94BEGIN_9:'GMIC_2020-Annu_SCDPT4'!SCDPT4_94ENDIN_9)</f>
        <v>0</v>
      </c>
      <c r="L316" s="3">
        <f>SUM('GMIC_2020-Annu_SCDPT4'!SCDPT4_94BEGIN_10:'GMIC_2020-Annu_SCDPT4'!SCDPT4_94ENDIN_10)</f>
        <v>0</v>
      </c>
      <c r="M316" s="3">
        <f>SUM('GMIC_2020-Annu_SCDPT4'!SCDPT4_94BEGIN_11:'GMIC_2020-Annu_SCDPT4'!SCDPT4_94ENDIN_11)</f>
        <v>0</v>
      </c>
      <c r="N316" s="3">
        <f>SUM('GMIC_2020-Annu_SCDPT4'!SCDPT4_94BEGIN_12:'GMIC_2020-Annu_SCDPT4'!SCDPT4_94ENDIN_12)</f>
        <v>0</v>
      </c>
      <c r="O316" s="3">
        <f>SUM('GMIC_2020-Annu_SCDPT4'!SCDPT4_94BEGIN_13:'GMIC_2020-Annu_SCDPT4'!SCDPT4_94ENDIN_13)</f>
        <v>0</v>
      </c>
      <c r="P316" s="3">
        <f>SUM('GMIC_2020-Annu_SCDPT4'!SCDPT4_94BEGIN_14:'GMIC_2020-Annu_SCDPT4'!SCDPT4_94ENDIN_14)</f>
        <v>0</v>
      </c>
      <c r="Q316" s="3">
        <f>SUM('GMIC_2020-Annu_SCDPT4'!SCDPT4_94BEGIN_15:'GMIC_2020-Annu_SCDPT4'!SCDPT4_94ENDIN_15)</f>
        <v>0</v>
      </c>
      <c r="R316" s="3">
        <f>SUM('GMIC_2020-Annu_SCDPT4'!SCDPT4_94BEGIN_16:'GMIC_2020-Annu_SCDPT4'!SCDPT4_94ENDIN_16)</f>
        <v>0</v>
      </c>
      <c r="S316" s="3">
        <f>SUM('GMIC_2020-Annu_SCDPT4'!SCDPT4_94BEGIN_17:'GMIC_2020-Annu_SCDPT4'!SCDPT4_94ENDIN_17)</f>
        <v>0</v>
      </c>
      <c r="T316" s="3">
        <f>SUM('GMIC_2020-Annu_SCDPT4'!SCDPT4_94BEGIN_18:'GMIC_2020-Annu_SCDPT4'!SCDPT4_94ENDIN_18)</f>
        <v>0</v>
      </c>
      <c r="U316" s="3">
        <f>SUM('GMIC_2020-Annu_SCDPT4'!SCDPT4_94BEGIN_19:'GMIC_2020-Annu_SCDPT4'!SCDPT4_94ENDIN_19)</f>
        <v>0</v>
      </c>
      <c r="V316" s="3">
        <f>SUM('GMIC_2020-Annu_SCDPT4'!SCDPT4_94BEGIN_20:'GMIC_2020-Annu_SCDPT4'!SCDPT4_94ENDIN_20)</f>
        <v>0</v>
      </c>
      <c r="W316" s="2"/>
      <c r="X316" s="2"/>
      <c r="Y316" s="2"/>
      <c r="Z316" s="2"/>
      <c r="AA316" s="2"/>
      <c r="AB316" s="2"/>
    </row>
    <row r="317" spans="2:28" x14ac:dyDescent="0.25">
      <c r="B317" s="7" t="s">
        <v>2713</v>
      </c>
      <c r="C317" s="1" t="s">
        <v>2713</v>
      </c>
      <c r="D317" s="8" t="s">
        <v>2713</v>
      </c>
      <c r="E317" s="1" t="s">
        <v>2713</v>
      </c>
      <c r="F317" s="1" t="s">
        <v>2713</v>
      </c>
      <c r="G317" s="1" t="s">
        <v>2713</v>
      </c>
      <c r="H317" s="1" t="s">
        <v>2713</v>
      </c>
      <c r="I317" s="1" t="s">
        <v>2713</v>
      </c>
      <c r="J317" s="1" t="s">
        <v>2713</v>
      </c>
      <c r="K317" s="1" t="s">
        <v>2713</v>
      </c>
      <c r="L317" s="1" t="s">
        <v>2713</v>
      </c>
      <c r="M317" s="1" t="s">
        <v>2713</v>
      </c>
      <c r="N317" s="1" t="s">
        <v>2713</v>
      </c>
      <c r="O317" s="1" t="s">
        <v>2713</v>
      </c>
      <c r="P317" s="1" t="s">
        <v>2713</v>
      </c>
      <c r="Q317" s="1" t="s">
        <v>2713</v>
      </c>
      <c r="R317" s="1" t="s">
        <v>2713</v>
      </c>
      <c r="S317" s="1" t="s">
        <v>2713</v>
      </c>
      <c r="T317" s="1" t="s">
        <v>2713</v>
      </c>
      <c r="U317" s="1" t="s">
        <v>2713</v>
      </c>
      <c r="V317" s="1" t="s">
        <v>2713</v>
      </c>
      <c r="W317" s="1" t="s">
        <v>2713</v>
      </c>
      <c r="X317" s="1" t="s">
        <v>2713</v>
      </c>
      <c r="Y317" s="1" t="s">
        <v>2713</v>
      </c>
      <c r="Z317" s="1" t="s">
        <v>2713</v>
      </c>
      <c r="AA317" s="1" t="s">
        <v>2713</v>
      </c>
      <c r="AB317" s="1" t="s">
        <v>2713</v>
      </c>
    </row>
    <row r="318" spans="2:28" x14ac:dyDescent="0.25">
      <c r="B318" s="18" t="s">
        <v>1100</v>
      </c>
      <c r="C318" s="25" t="s">
        <v>3846</v>
      </c>
      <c r="D318" s="20" t="s">
        <v>3</v>
      </c>
      <c r="E318" s="22" t="s">
        <v>3</v>
      </c>
      <c r="F318" s="6"/>
      <c r="G318" s="5" t="s">
        <v>3</v>
      </c>
      <c r="H318" s="28"/>
      <c r="I318" s="4"/>
      <c r="J318" s="2"/>
      <c r="K318" s="4"/>
      <c r="L318" s="4"/>
      <c r="M318" s="4"/>
      <c r="N318" s="4"/>
      <c r="O318" s="4"/>
      <c r="P318" s="24"/>
      <c r="Q318" s="4"/>
      <c r="R318" s="4"/>
      <c r="S318" s="4"/>
      <c r="T318" s="4"/>
      <c r="U318" s="24"/>
      <c r="V318" s="4"/>
      <c r="W318" s="2"/>
      <c r="X318" s="2"/>
      <c r="Y318" s="5" t="s">
        <v>3</v>
      </c>
      <c r="Z318" s="5" t="s">
        <v>3</v>
      </c>
      <c r="AA318" s="5" t="s">
        <v>3</v>
      </c>
      <c r="AB318" s="16" t="s">
        <v>3</v>
      </c>
    </row>
    <row r="319" spans="2:28" x14ac:dyDescent="0.25">
      <c r="B319" s="7" t="s">
        <v>2713</v>
      </c>
      <c r="C319" s="1" t="s">
        <v>2713</v>
      </c>
      <c r="D319" s="8" t="s">
        <v>2713</v>
      </c>
      <c r="E319" s="1" t="s">
        <v>2713</v>
      </c>
      <c r="F319" s="1" t="s">
        <v>2713</v>
      </c>
      <c r="G319" s="1" t="s">
        <v>2713</v>
      </c>
      <c r="H319" s="1" t="s">
        <v>2713</v>
      </c>
      <c r="I319" s="1" t="s">
        <v>2713</v>
      </c>
      <c r="J319" s="1" t="s">
        <v>2713</v>
      </c>
      <c r="K319" s="1" t="s">
        <v>2713</v>
      </c>
      <c r="L319" s="1" t="s">
        <v>2713</v>
      </c>
      <c r="M319" s="1" t="s">
        <v>2713</v>
      </c>
      <c r="N319" s="1" t="s">
        <v>2713</v>
      </c>
      <c r="O319" s="1" t="s">
        <v>2713</v>
      </c>
      <c r="P319" s="1" t="s">
        <v>2713</v>
      </c>
      <c r="Q319" s="1" t="s">
        <v>2713</v>
      </c>
      <c r="R319" s="1" t="s">
        <v>2713</v>
      </c>
      <c r="S319" s="1" t="s">
        <v>2713</v>
      </c>
      <c r="T319" s="1" t="s">
        <v>2713</v>
      </c>
      <c r="U319" s="1" t="s">
        <v>2713</v>
      </c>
      <c r="V319" s="1" t="s">
        <v>2713</v>
      </c>
      <c r="W319" s="1" t="s">
        <v>2713</v>
      </c>
      <c r="X319" s="1" t="s">
        <v>2713</v>
      </c>
      <c r="Y319" s="1" t="s">
        <v>2713</v>
      </c>
      <c r="Z319" s="1" t="s">
        <v>2713</v>
      </c>
      <c r="AA319" s="1" t="s">
        <v>2713</v>
      </c>
      <c r="AB319" s="1" t="s">
        <v>2713</v>
      </c>
    </row>
    <row r="320" spans="2:28" ht="27.6" x14ac:dyDescent="0.25">
      <c r="B320" s="21" t="s">
        <v>2374</v>
      </c>
      <c r="C320" s="19" t="s">
        <v>3475</v>
      </c>
      <c r="D320" s="17"/>
      <c r="E320" s="2"/>
      <c r="F320" s="2"/>
      <c r="G320" s="2"/>
      <c r="H320" s="2"/>
      <c r="I320" s="3">
        <f>SUM('GMIC_2020-Annu_SCDPT4'!SCDPT4_95BEGIN_7:'GMIC_2020-Annu_SCDPT4'!SCDPT4_95ENDIN_7)</f>
        <v>0</v>
      </c>
      <c r="J320" s="2"/>
      <c r="K320" s="3">
        <f>SUM('GMIC_2020-Annu_SCDPT4'!SCDPT4_95BEGIN_9:'GMIC_2020-Annu_SCDPT4'!SCDPT4_95ENDIN_9)</f>
        <v>0</v>
      </c>
      <c r="L320" s="3">
        <f>SUM('GMIC_2020-Annu_SCDPT4'!SCDPT4_95BEGIN_10:'GMIC_2020-Annu_SCDPT4'!SCDPT4_95ENDIN_10)</f>
        <v>0</v>
      </c>
      <c r="M320" s="3">
        <f>SUM('GMIC_2020-Annu_SCDPT4'!SCDPT4_95BEGIN_11:'GMIC_2020-Annu_SCDPT4'!SCDPT4_95ENDIN_11)</f>
        <v>0</v>
      </c>
      <c r="N320" s="3">
        <f>SUM('GMIC_2020-Annu_SCDPT4'!SCDPT4_95BEGIN_12:'GMIC_2020-Annu_SCDPT4'!SCDPT4_95ENDIN_12)</f>
        <v>0</v>
      </c>
      <c r="O320" s="3">
        <f>SUM('GMIC_2020-Annu_SCDPT4'!SCDPT4_95BEGIN_13:'GMIC_2020-Annu_SCDPT4'!SCDPT4_95ENDIN_13)</f>
        <v>0</v>
      </c>
      <c r="P320" s="3">
        <f>SUM('GMIC_2020-Annu_SCDPT4'!SCDPT4_95BEGIN_14:'GMIC_2020-Annu_SCDPT4'!SCDPT4_95ENDIN_14)</f>
        <v>0</v>
      </c>
      <c r="Q320" s="3">
        <f>SUM('GMIC_2020-Annu_SCDPT4'!SCDPT4_95BEGIN_15:'GMIC_2020-Annu_SCDPT4'!SCDPT4_95ENDIN_15)</f>
        <v>0</v>
      </c>
      <c r="R320" s="3">
        <f>SUM('GMIC_2020-Annu_SCDPT4'!SCDPT4_95BEGIN_16:'GMIC_2020-Annu_SCDPT4'!SCDPT4_95ENDIN_16)</f>
        <v>0</v>
      </c>
      <c r="S320" s="3">
        <f>SUM('GMIC_2020-Annu_SCDPT4'!SCDPT4_95BEGIN_17:'GMIC_2020-Annu_SCDPT4'!SCDPT4_95ENDIN_17)</f>
        <v>0</v>
      </c>
      <c r="T320" s="3">
        <f>SUM('GMIC_2020-Annu_SCDPT4'!SCDPT4_95BEGIN_18:'GMIC_2020-Annu_SCDPT4'!SCDPT4_95ENDIN_18)</f>
        <v>0</v>
      </c>
      <c r="U320" s="3">
        <f>SUM('GMIC_2020-Annu_SCDPT4'!SCDPT4_95BEGIN_19:'GMIC_2020-Annu_SCDPT4'!SCDPT4_95ENDIN_19)</f>
        <v>0</v>
      </c>
      <c r="V320" s="3">
        <f>SUM('GMIC_2020-Annu_SCDPT4'!SCDPT4_95BEGIN_20:'GMIC_2020-Annu_SCDPT4'!SCDPT4_95ENDIN_20)</f>
        <v>0</v>
      </c>
      <c r="W320" s="2"/>
      <c r="X320" s="2"/>
      <c r="Y320" s="2"/>
      <c r="Z320" s="2"/>
      <c r="AA320" s="2"/>
      <c r="AB320" s="2"/>
    </row>
    <row r="321" spans="2:28" x14ac:dyDescent="0.25">
      <c r="B321" s="7" t="s">
        <v>2713</v>
      </c>
      <c r="C321" s="1" t="s">
        <v>2713</v>
      </c>
      <c r="D321" s="8" t="s">
        <v>2713</v>
      </c>
      <c r="E321" s="1" t="s">
        <v>2713</v>
      </c>
      <c r="F321" s="1" t="s">
        <v>2713</v>
      </c>
      <c r="G321" s="1" t="s">
        <v>2713</v>
      </c>
      <c r="H321" s="1" t="s">
        <v>2713</v>
      </c>
      <c r="I321" s="1" t="s">
        <v>2713</v>
      </c>
      <c r="J321" s="1" t="s">
        <v>2713</v>
      </c>
      <c r="K321" s="1" t="s">
        <v>2713</v>
      </c>
      <c r="L321" s="1" t="s">
        <v>2713</v>
      </c>
      <c r="M321" s="1" t="s">
        <v>2713</v>
      </c>
      <c r="N321" s="1" t="s">
        <v>2713</v>
      </c>
      <c r="O321" s="1" t="s">
        <v>2713</v>
      </c>
      <c r="P321" s="1" t="s">
        <v>2713</v>
      </c>
      <c r="Q321" s="1" t="s">
        <v>2713</v>
      </c>
      <c r="R321" s="1" t="s">
        <v>2713</v>
      </c>
      <c r="S321" s="1" t="s">
        <v>2713</v>
      </c>
      <c r="T321" s="1" t="s">
        <v>2713</v>
      </c>
      <c r="U321" s="1" t="s">
        <v>2713</v>
      </c>
      <c r="V321" s="1" t="s">
        <v>2713</v>
      </c>
      <c r="W321" s="1" t="s">
        <v>2713</v>
      </c>
      <c r="X321" s="1" t="s">
        <v>2713</v>
      </c>
      <c r="Y321" s="1" t="s">
        <v>2713</v>
      </c>
      <c r="Z321" s="1" t="s">
        <v>2713</v>
      </c>
      <c r="AA321" s="1" t="s">
        <v>2713</v>
      </c>
      <c r="AB321" s="1" t="s">
        <v>2713</v>
      </c>
    </row>
    <row r="322" spans="2:28" x14ac:dyDescent="0.25">
      <c r="B322" s="18" t="s">
        <v>184</v>
      </c>
      <c r="C322" s="25" t="s">
        <v>3846</v>
      </c>
      <c r="D322" s="20" t="s">
        <v>3</v>
      </c>
      <c r="E322" s="22" t="s">
        <v>3</v>
      </c>
      <c r="F322" s="6"/>
      <c r="G322" s="5" t="s">
        <v>3</v>
      </c>
      <c r="H322" s="28"/>
      <c r="I322" s="4"/>
      <c r="J322" s="2"/>
      <c r="K322" s="4"/>
      <c r="L322" s="4"/>
      <c r="M322" s="4"/>
      <c r="N322" s="4"/>
      <c r="O322" s="4"/>
      <c r="P322" s="24"/>
      <c r="Q322" s="4"/>
      <c r="R322" s="4"/>
      <c r="S322" s="4"/>
      <c r="T322" s="4"/>
      <c r="U322" s="24"/>
      <c r="V322" s="4"/>
      <c r="W322" s="2"/>
      <c r="X322" s="2"/>
      <c r="Y322" s="5" t="s">
        <v>3</v>
      </c>
      <c r="Z322" s="5" t="s">
        <v>3</v>
      </c>
      <c r="AA322" s="5" t="s">
        <v>3</v>
      </c>
      <c r="AB322" s="16" t="s">
        <v>3</v>
      </c>
    </row>
    <row r="323" spans="2:28" x14ac:dyDescent="0.25">
      <c r="B323" s="7" t="s">
        <v>2713</v>
      </c>
      <c r="C323" s="1" t="s">
        <v>2713</v>
      </c>
      <c r="D323" s="8" t="s">
        <v>2713</v>
      </c>
      <c r="E323" s="1" t="s">
        <v>2713</v>
      </c>
      <c r="F323" s="1" t="s">
        <v>2713</v>
      </c>
      <c r="G323" s="1" t="s">
        <v>2713</v>
      </c>
      <c r="H323" s="1" t="s">
        <v>2713</v>
      </c>
      <c r="I323" s="1" t="s">
        <v>2713</v>
      </c>
      <c r="J323" s="1" t="s">
        <v>2713</v>
      </c>
      <c r="K323" s="1" t="s">
        <v>2713</v>
      </c>
      <c r="L323" s="1" t="s">
        <v>2713</v>
      </c>
      <c r="M323" s="1" t="s">
        <v>2713</v>
      </c>
      <c r="N323" s="1" t="s">
        <v>2713</v>
      </c>
      <c r="O323" s="1" t="s">
        <v>2713</v>
      </c>
      <c r="P323" s="1" t="s">
        <v>2713</v>
      </c>
      <c r="Q323" s="1" t="s">
        <v>2713</v>
      </c>
      <c r="R323" s="1" t="s">
        <v>2713</v>
      </c>
      <c r="S323" s="1" t="s">
        <v>2713</v>
      </c>
      <c r="T323" s="1" t="s">
        <v>2713</v>
      </c>
      <c r="U323" s="1" t="s">
        <v>2713</v>
      </c>
      <c r="V323" s="1" t="s">
        <v>2713</v>
      </c>
      <c r="W323" s="1" t="s">
        <v>2713</v>
      </c>
      <c r="X323" s="1" t="s">
        <v>2713</v>
      </c>
      <c r="Y323" s="1" t="s">
        <v>2713</v>
      </c>
      <c r="Z323" s="1" t="s">
        <v>2713</v>
      </c>
      <c r="AA323" s="1" t="s">
        <v>2713</v>
      </c>
      <c r="AB323" s="1" t="s">
        <v>2713</v>
      </c>
    </row>
    <row r="324" spans="2:28" x14ac:dyDescent="0.25">
      <c r="B324" s="21" t="s">
        <v>1549</v>
      </c>
      <c r="C324" s="19" t="s">
        <v>1909</v>
      </c>
      <c r="D324" s="17"/>
      <c r="E324" s="2"/>
      <c r="F324" s="2"/>
      <c r="G324" s="2"/>
      <c r="H324" s="2"/>
      <c r="I324" s="3">
        <f>SUM('GMIC_2020-Annu_SCDPT4'!SCDPT4_96BEGIN_7:'GMIC_2020-Annu_SCDPT4'!SCDPT4_96ENDIN_7)</f>
        <v>0</v>
      </c>
      <c r="J324" s="2"/>
      <c r="K324" s="3">
        <f>SUM('GMIC_2020-Annu_SCDPT4'!SCDPT4_96BEGIN_9:'GMIC_2020-Annu_SCDPT4'!SCDPT4_96ENDIN_9)</f>
        <v>0</v>
      </c>
      <c r="L324" s="3">
        <f>SUM('GMIC_2020-Annu_SCDPT4'!SCDPT4_96BEGIN_10:'GMIC_2020-Annu_SCDPT4'!SCDPT4_96ENDIN_10)</f>
        <v>0</v>
      </c>
      <c r="M324" s="3">
        <f>SUM('GMIC_2020-Annu_SCDPT4'!SCDPT4_96BEGIN_11:'GMIC_2020-Annu_SCDPT4'!SCDPT4_96ENDIN_11)</f>
        <v>0</v>
      </c>
      <c r="N324" s="3">
        <f>SUM('GMIC_2020-Annu_SCDPT4'!SCDPT4_96BEGIN_12:'GMIC_2020-Annu_SCDPT4'!SCDPT4_96ENDIN_12)</f>
        <v>0</v>
      </c>
      <c r="O324" s="3">
        <f>SUM('GMIC_2020-Annu_SCDPT4'!SCDPT4_96BEGIN_13:'GMIC_2020-Annu_SCDPT4'!SCDPT4_96ENDIN_13)</f>
        <v>0</v>
      </c>
      <c r="P324" s="3">
        <f>SUM('GMIC_2020-Annu_SCDPT4'!SCDPT4_96BEGIN_14:'GMIC_2020-Annu_SCDPT4'!SCDPT4_96ENDIN_14)</f>
        <v>0</v>
      </c>
      <c r="Q324" s="3">
        <f>SUM('GMIC_2020-Annu_SCDPT4'!SCDPT4_96BEGIN_15:'GMIC_2020-Annu_SCDPT4'!SCDPT4_96ENDIN_15)</f>
        <v>0</v>
      </c>
      <c r="R324" s="3">
        <f>SUM('GMIC_2020-Annu_SCDPT4'!SCDPT4_96BEGIN_16:'GMIC_2020-Annu_SCDPT4'!SCDPT4_96ENDIN_16)</f>
        <v>0</v>
      </c>
      <c r="S324" s="3">
        <f>SUM('GMIC_2020-Annu_SCDPT4'!SCDPT4_96BEGIN_17:'GMIC_2020-Annu_SCDPT4'!SCDPT4_96ENDIN_17)</f>
        <v>0</v>
      </c>
      <c r="T324" s="3">
        <f>SUM('GMIC_2020-Annu_SCDPT4'!SCDPT4_96BEGIN_18:'GMIC_2020-Annu_SCDPT4'!SCDPT4_96ENDIN_18)</f>
        <v>0</v>
      </c>
      <c r="U324" s="3">
        <f>SUM('GMIC_2020-Annu_SCDPT4'!SCDPT4_96BEGIN_19:'GMIC_2020-Annu_SCDPT4'!SCDPT4_96ENDIN_19)</f>
        <v>0</v>
      </c>
      <c r="V324" s="3">
        <f>SUM('GMIC_2020-Annu_SCDPT4'!SCDPT4_96BEGIN_20:'GMIC_2020-Annu_SCDPT4'!SCDPT4_96ENDIN_20)</f>
        <v>0</v>
      </c>
      <c r="W324" s="2"/>
      <c r="X324" s="2"/>
      <c r="Y324" s="2"/>
      <c r="Z324" s="2"/>
      <c r="AA324" s="2"/>
      <c r="AB324" s="2"/>
    </row>
    <row r="325" spans="2:28" ht="27.6" x14ac:dyDescent="0.25">
      <c r="B325" s="21" t="s">
        <v>3034</v>
      </c>
      <c r="C325" s="19" t="s">
        <v>3523</v>
      </c>
      <c r="D325" s="17"/>
      <c r="E325" s="2"/>
      <c r="F325" s="2"/>
      <c r="G325" s="2"/>
      <c r="H325" s="2"/>
      <c r="I325" s="3">
        <f>'GMIC_2020-Annu_SCDPT4'!SCDPT4_9099999_7+'GMIC_2020-Annu_SCDPT4'!SCDPT4_9199999_7+'GMIC_2020-Annu_SCDPT4'!SCDPT4_9299999_7+'GMIC_2020-Annu_SCDPT4'!SCDPT4_9399999_7+'GMIC_2020-Annu_SCDPT4'!SCDPT4_9499999_7+'GMIC_2020-Annu_SCDPT4'!SCDPT4_9599999_7+'GMIC_2020-Annu_SCDPT4'!SCDPT4_9699999_7</f>
        <v>0</v>
      </c>
      <c r="J325" s="2"/>
      <c r="K325" s="3">
        <f>'GMIC_2020-Annu_SCDPT4'!SCDPT4_9099999_9+'GMIC_2020-Annu_SCDPT4'!SCDPT4_9199999_9+'GMIC_2020-Annu_SCDPT4'!SCDPT4_9299999_9+'GMIC_2020-Annu_SCDPT4'!SCDPT4_9399999_9+'GMIC_2020-Annu_SCDPT4'!SCDPT4_9499999_9+'GMIC_2020-Annu_SCDPT4'!SCDPT4_9599999_9+'GMIC_2020-Annu_SCDPT4'!SCDPT4_9699999_9</f>
        <v>0</v>
      </c>
      <c r="L325" s="3">
        <f>'GMIC_2020-Annu_SCDPT4'!SCDPT4_9099999_10+'GMIC_2020-Annu_SCDPT4'!SCDPT4_9199999_10+'GMIC_2020-Annu_SCDPT4'!SCDPT4_9299999_10+'GMIC_2020-Annu_SCDPT4'!SCDPT4_9399999_10+'GMIC_2020-Annu_SCDPT4'!SCDPT4_9499999_10+'GMIC_2020-Annu_SCDPT4'!SCDPT4_9599999_10+'GMIC_2020-Annu_SCDPT4'!SCDPT4_9699999_10</f>
        <v>0</v>
      </c>
      <c r="M325" s="3">
        <f>'GMIC_2020-Annu_SCDPT4'!SCDPT4_9099999_11+'GMIC_2020-Annu_SCDPT4'!SCDPT4_9199999_11+'GMIC_2020-Annu_SCDPT4'!SCDPT4_9299999_11+'GMIC_2020-Annu_SCDPT4'!SCDPT4_9399999_11+'GMIC_2020-Annu_SCDPT4'!SCDPT4_9499999_11+'GMIC_2020-Annu_SCDPT4'!SCDPT4_9599999_11+'GMIC_2020-Annu_SCDPT4'!SCDPT4_9699999_11</f>
        <v>0</v>
      </c>
      <c r="N325" s="3">
        <f>'GMIC_2020-Annu_SCDPT4'!SCDPT4_9099999_12+'GMIC_2020-Annu_SCDPT4'!SCDPT4_9199999_12+'GMIC_2020-Annu_SCDPT4'!SCDPT4_9299999_12+'GMIC_2020-Annu_SCDPT4'!SCDPT4_9399999_12+'GMIC_2020-Annu_SCDPT4'!SCDPT4_9499999_12+'GMIC_2020-Annu_SCDPT4'!SCDPT4_9599999_12+'GMIC_2020-Annu_SCDPT4'!SCDPT4_9699999_12</f>
        <v>0</v>
      </c>
      <c r="O325" s="3">
        <f>'GMIC_2020-Annu_SCDPT4'!SCDPT4_9099999_13+'GMIC_2020-Annu_SCDPT4'!SCDPT4_9199999_13+'GMIC_2020-Annu_SCDPT4'!SCDPT4_9299999_13+'GMIC_2020-Annu_SCDPT4'!SCDPT4_9399999_13+'GMIC_2020-Annu_SCDPT4'!SCDPT4_9499999_13+'GMIC_2020-Annu_SCDPT4'!SCDPT4_9599999_13+'GMIC_2020-Annu_SCDPT4'!SCDPT4_9699999_13</f>
        <v>0</v>
      </c>
      <c r="P325" s="3">
        <f>'GMIC_2020-Annu_SCDPT4'!SCDPT4_9099999_14+'GMIC_2020-Annu_SCDPT4'!SCDPT4_9199999_14+'GMIC_2020-Annu_SCDPT4'!SCDPT4_9299999_14+'GMIC_2020-Annu_SCDPT4'!SCDPT4_9399999_14+'GMIC_2020-Annu_SCDPT4'!SCDPT4_9499999_14+'GMIC_2020-Annu_SCDPT4'!SCDPT4_9599999_14+'GMIC_2020-Annu_SCDPT4'!SCDPT4_9699999_14</f>
        <v>0</v>
      </c>
      <c r="Q325" s="3">
        <f>'GMIC_2020-Annu_SCDPT4'!SCDPT4_9099999_15+'GMIC_2020-Annu_SCDPT4'!SCDPT4_9199999_15+'GMIC_2020-Annu_SCDPT4'!SCDPT4_9299999_15+'GMIC_2020-Annu_SCDPT4'!SCDPT4_9399999_15+'GMIC_2020-Annu_SCDPT4'!SCDPT4_9499999_15+'GMIC_2020-Annu_SCDPT4'!SCDPT4_9599999_15+'GMIC_2020-Annu_SCDPT4'!SCDPT4_9699999_15</f>
        <v>0</v>
      </c>
      <c r="R325" s="3">
        <f>'GMIC_2020-Annu_SCDPT4'!SCDPT4_9099999_16+'GMIC_2020-Annu_SCDPT4'!SCDPT4_9199999_16+'GMIC_2020-Annu_SCDPT4'!SCDPT4_9299999_16+'GMIC_2020-Annu_SCDPT4'!SCDPT4_9399999_16+'GMIC_2020-Annu_SCDPT4'!SCDPT4_9499999_16+'GMIC_2020-Annu_SCDPT4'!SCDPT4_9599999_16+'GMIC_2020-Annu_SCDPT4'!SCDPT4_9699999_16</f>
        <v>0</v>
      </c>
      <c r="S325" s="3">
        <f>'GMIC_2020-Annu_SCDPT4'!SCDPT4_9099999_17+'GMIC_2020-Annu_SCDPT4'!SCDPT4_9199999_17+'GMIC_2020-Annu_SCDPT4'!SCDPT4_9299999_17+'GMIC_2020-Annu_SCDPT4'!SCDPT4_9399999_17+'GMIC_2020-Annu_SCDPT4'!SCDPT4_9499999_17+'GMIC_2020-Annu_SCDPT4'!SCDPT4_9599999_17+'GMIC_2020-Annu_SCDPT4'!SCDPT4_9699999_17</f>
        <v>0</v>
      </c>
      <c r="T325" s="3">
        <f>'GMIC_2020-Annu_SCDPT4'!SCDPT4_9099999_18+'GMIC_2020-Annu_SCDPT4'!SCDPT4_9199999_18+'GMIC_2020-Annu_SCDPT4'!SCDPT4_9299999_18+'GMIC_2020-Annu_SCDPT4'!SCDPT4_9399999_18+'GMIC_2020-Annu_SCDPT4'!SCDPT4_9499999_18+'GMIC_2020-Annu_SCDPT4'!SCDPT4_9599999_18+'GMIC_2020-Annu_SCDPT4'!SCDPT4_9699999_18</f>
        <v>0</v>
      </c>
      <c r="U325" s="3">
        <f>'GMIC_2020-Annu_SCDPT4'!SCDPT4_9099999_19+'GMIC_2020-Annu_SCDPT4'!SCDPT4_9199999_19+'GMIC_2020-Annu_SCDPT4'!SCDPT4_9299999_19+'GMIC_2020-Annu_SCDPT4'!SCDPT4_9399999_19+'GMIC_2020-Annu_SCDPT4'!SCDPT4_9499999_19+'GMIC_2020-Annu_SCDPT4'!SCDPT4_9599999_19+'GMIC_2020-Annu_SCDPT4'!SCDPT4_9699999_19</f>
        <v>0</v>
      </c>
      <c r="V325" s="3">
        <f>'GMIC_2020-Annu_SCDPT4'!SCDPT4_9099999_20+'GMIC_2020-Annu_SCDPT4'!SCDPT4_9199999_20+'GMIC_2020-Annu_SCDPT4'!SCDPT4_9299999_20+'GMIC_2020-Annu_SCDPT4'!SCDPT4_9399999_20+'GMIC_2020-Annu_SCDPT4'!SCDPT4_9499999_20+'GMIC_2020-Annu_SCDPT4'!SCDPT4_9599999_20+'GMIC_2020-Annu_SCDPT4'!SCDPT4_9699999_20</f>
        <v>0</v>
      </c>
      <c r="W325" s="2"/>
      <c r="X325" s="2"/>
      <c r="Y325" s="2"/>
      <c r="Z325" s="2"/>
      <c r="AA325" s="2"/>
      <c r="AB325" s="2"/>
    </row>
    <row r="326" spans="2:28" ht="27.6" x14ac:dyDescent="0.25">
      <c r="B326" s="21" t="s">
        <v>4158</v>
      </c>
      <c r="C326" s="19" t="s">
        <v>207</v>
      </c>
      <c r="D326" s="17"/>
      <c r="E326" s="2"/>
      <c r="F326" s="2"/>
      <c r="G326" s="2"/>
      <c r="H326" s="2"/>
      <c r="I326" s="30"/>
      <c r="J326" s="2"/>
      <c r="K326" s="30"/>
      <c r="L326" s="4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2"/>
      <c r="X326" s="2"/>
      <c r="Y326" s="2"/>
      <c r="Z326" s="2"/>
      <c r="AA326" s="2"/>
      <c r="AB326" s="2"/>
    </row>
    <row r="327" spans="2:28" x14ac:dyDescent="0.25">
      <c r="B327" s="21" t="s">
        <v>809</v>
      </c>
      <c r="C327" s="19" t="s">
        <v>4159</v>
      </c>
      <c r="D327" s="17"/>
      <c r="E327" s="2"/>
      <c r="F327" s="2"/>
      <c r="G327" s="2"/>
      <c r="H327" s="2"/>
      <c r="I327" s="3">
        <f>'GMIC_2020-Annu_SCDPT4'!SCDPT4_9799997_7+'GMIC_2020-Annu_SCDPT4'!SCDPT4_9799998_7</f>
        <v>0</v>
      </c>
      <c r="J327" s="2"/>
      <c r="K327" s="3">
        <f>'GMIC_2020-Annu_SCDPT4'!SCDPT4_9799997_9+'GMIC_2020-Annu_SCDPT4'!SCDPT4_9799998_9</f>
        <v>0</v>
      </c>
      <c r="L327" s="3">
        <f>'GMIC_2020-Annu_SCDPT4'!SCDPT4_9799997_10+'GMIC_2020-Annu_SCDPT4'!SCDPT4_9799998_10</f>
        <v>0</v>
      </c>
      <c r="M327" s="3">
        <f>'GMIC_2020-Annu_SCDPT4'!SCDPT4_9799997_11+'GMIC_2020-Annu_SCDPT4'!SCDPT4_9799998_11</f>
        <v>0</v>
      </c>
      <c r="N327" s="3">
        <f>'GMIC_2020-Annu_SCDPT4'!SCDPT4_9799997_12+'GMIC_2020-Annu_SCDPT4'!SCDPT4_9799998_12</f>
        <v>0</v>
      </c>
      <c r="O327" s="3">
        <f>'GMIC_2020-Annu_SCDPT4'!SCDPT4_9799997_13+'GMIC_2020-Annu_SCDPT4'!SCDPT4_9799998_13</f>
        <v>0</v>
      </c>
      <c r="P327" s="3">
        <f>'GMIC_2020-Annu_SCDPT4'!SCDPT4_9799997_14+'GMIC_2020-Annu_SCDPT4'!SCDPT4_9799998_14</f>
        <v>0</v>
      </c>
      <c r="Q327" s="3">
        <f>'GMIC_2020-Annu_SCDPT4'!SCDPT4_9799997_15+'GMIC_2020-Annu_SCDPT4'!SCDPT4_9799998_15</f>
        <v>0</v>
      </c>
      <c r="R327" s="3">
        <f>'GMIC_2020-Annu_SCDPT4'!SCDPT4_9799997_16+'GMIC_2020-Annu_SCDPT4'!SCDPT4_9799998_16</f>
        <v>0</v>
      </c>
      <c r="S327" s="3">
        <f>'GMIC_2020-Annu_SCDPT4'!SCDPT4_9799997_17+'GMIC_2020-Annu_SCDPT4'!SCDPT4_9799998_17</f>
        <v>0</v>
      </c>
      <c r="T327" s="3">
        <f>'GMIC_2020-Annu_SCDPT4'!SCDPT4_9799997_18+'GMIC_2020-Annu_SCDPT4'!SCDPT4_9799998_18</f>
        <v>0</v>
      </c>
      <c r="U327" s="3">
        <f>'GMIC_2020-Annu_SCDPT4'!SCDPT4_9799997_19+'GMIC_2020-Annu_SCDPT4'!SCDPT4_9799998_19</f>
        <v>0</v>
      </c>
      <c r="V327" s="3">
        <f>'GMIC_2020-Annu_SCDPT4'!SCDPT4_9799997_20+'GMIC_2020-Annu_SCDPT4'!SCDPT4_9799998_20</f>
        <v>0</v>
      </c>
      <c r="W327" s="2"/>
      <c r="X327" s="2"/>
      <c r="Y327" s="2"/>
      <c r="Z327" s="2"/>
      <c r="AA327" s="2"/>
      <c r="AB327" s="2"/>
    </row>
    <row r="328" spans="2:28" ht="27.6" x14ac:dyDescent="0.25">
      <c r="B328" s="21" t="s">
        <v>185</v>
      </c>
      <c r="C328" s="19" t="s">
        <v>1115</v>
      </c>
      <c r="D328" s="17"/>
      <c r="E328" s="2"/>
      <c r="F328" s="2"/>
      <c r="G328" s="2"/>
      <c r="H328" s="2"/>
      <c r="I328" s="3">
        <f>'GMIC_2020-Annu_SCDPT4'!SCDPT4_8999999_7+'GMIC_2020-Annu_SCDPT4'!SCDPT4_9799999_7</f>
        <v>0</v>
      </c>
      <c r="J328" s="2"/>
      <c r="K328" s="3">
        <f>'GMIC_2020-Annu_SCDPT4'!SCDPT4_8999999_9+'GMIC_2020-Annu_SCDPT4'!SCDPT4_9799999_9</f>
        <v>0</v>
      </c>
      <c r="L328" s="3">
        <f>'GMIC_2020-Annu_SCDPT4'!SCDPT4_8999999_10+'GMIC_2020-Annu_SCDPT4'!SCDPT4_9799999_10</f>
        <v>0</v>
      </c>
      <c r="M328" s="3">
        <f>'GMIC_2020-Annu_SCDPT4'!SCDPT4_8999999_11+'GMIC_2020-Annu_SCDPT4'!SCDPT4_9799999_11</f>
        <v>0</v>
      </c>
      <c r="N328" s="3">
        <f>'GMIC_2020-Annu_SCDPT4'!SCDPT4_8999999_12+'GMIC_2020-Annu_SCDPT4'!SCDPT4_9799999_12</f>
        <v>0</v>
      </c>
      <c r="O328" s="3">
        <f>'GMIC_2020-Annu_SCDPT4'!SCDPT4_8999999_13+'GMIC_2020-Annu_SCDPT4'!SCDPT4_9799999_13</f>
        <v>0</v>
      </c>
      <c r="P328" s="3">
        <f>'GMIC_2020-Annu_SCDPT4'!SCDPT4_8999999_14+'GMIC_2020-Annu_SCDPT4'!SCDPT4_9799999_14</f>
        <v>0</v>
      </c>
      <c r="Q328" s="3">
        <f>'GMIC_2020-Annu_SCDPT4'!SCDPT4_8999999_15+'GMIC_2020-Annu_SCDPT4'!SCDPT4_9799999_15</f>
        <v>0</v>
      </c>
      <c r="R328" s="3">
        <f>'GMIC_2020-Annu_SCDPT4'!SCDPT4_8999999_16+'GMIC_2020-Annu_SCDPT4'!SCDPT4_9799999_16</f>
        <v>0</v>
      </c>
      <c r="S328" s="3">
        <f>'GMIC_2020-Annu_SCDPT4'!SCDPT4_8999999_17+'GMIC_2020-Annu_SCDPT4'!SCDPT4_9799999_17</f>
        <v>0</v>
      </c>
      <c r="T328" s="3">
        <f>'GMIC_2020-Annu_SCDPT4'!SCDPT4_8999999_18+'GMIC_2020-Annu_SCDPT4'!SCDPT4_9799999_18</f>
        <v>0</v>
      </c>
      <c r="U328" s="3">
        <f>'GMIC_2020-Annu_SCDPT4'!SCDPT4_8999999_19+'GMIC_2020-Annu_SCDPT4'!SCDPT4_9799999_19</f>
        <v>0</v>
      </c>
      <c r="V328" s="3">
        <f>'GMIC_2020-Annu_SCDPT4'!SCDPT4_8999999_20+'GMIC_2020-Annu_SCDPT4'!SCDPT4_9799999_20</f>
        <v>0</v>
      </c>
      <c r="W328" s="2"/>
      <c r="X328" s="2"/>
      <c r="Y328" s="2"/>
      <c r="Z328" s="2"/>
      <c r="AA328" s="2"/>
      <c r="AB328" s="2"/>
    </row>
    <row r="329" spans="2:28" x14ac:dyDescent="0.25">
      <c r="B329" s="53" t="s">
        <v>3800</v>
      </c>
      <c r="C329" s="55" t="s">
        <v>524</v>
      </c>
      <c r="D329" s="69"/>
      <c r="E329" s="26"/>
      <c r="F329" s="26"/>
      <c r="G329" s="26"/>
      <c r="H329" s="26"/>
      <c r="I329" s="32">
        <f>'GMIC_2020-Annu_SCDPT4'!SCDPT4_8399999_7+'GMIC_2020-Annu_SCDPT4'!SCDPT4_8999999_7+'GMIC_2020-Annu_SCDPT4'!SCDPT4_9799999_7</f>
        <v>884311200</v>
      </c>
      <c r="J329" s="26"/>
      <c r="K329" s="32">
        <f>'GMIC_2020-Annu_SCDPT4'!SCDPT4_8399999_9+'GMIC_2020-Annu_SCDPT4'!SCDPT4_8999999_9+'GMIC_2020-Annu_SCDPT4'!SCDPT4_9799999_9</f>
        <v>882629705</v>
      </c>
      <c r="L329" s="32">
        <f>'GMIC_2020-Annu_SCDPT4'!SCDPT4_8399999_10+'GMIC_2020-Annu_SCDPT4'!SCDPT4_8999999_10+'GMIC_2020-Annu_SCDPT4'!SCDPT4_9799999_10</f>
        <v>795312688</v>
      </c>
      <c r="M329" s="32">
        <f>'GMIC_2020-Annu_SCDPT4'!SCDPT4_8399999_11+'GMIC_2020-Annu_SCDPT4'!SCDPT4_8999999_11+'GMIC_2020-Annu_SCDPT4'!SCDPT4_9799999_11</f>
        <v>0</v>
      </c>
      <c r="N329" s="32">
        <f>'GMIC_2020-Annu_SCDPT4'!SCDPT4_8399999_12+'GMIC_2020-Annu_SCDPT4'!SCDPT4_8999999_12+'GMIC_2020-Annu_SCDPT4'!SCDPT4_9799999_12</f>
        <v>-669490.46</v>
      </c>
      <c r="O329" s="32">
        <f>'GMIC_2020-Annu_SCDPT4'!SCDPT4_8399999_13+'GMIC_2020-Annu_SCDPT4'!SCDPT4_8999999_13+'GMIC_2020-Annu_SCDPT4'!SCDPT4_9799999_13</f>
        <v>1729603</v>
      </c>
      <c r="P329" s="32">
        <f>'GMIC_2020-Annu_SCDPT4'!SCDPT4_8399999_14+'GMIC_2020-Annu_SCDPT4'!SCDPT4_8999999_14+'GMIC_2020-Annu_SCDPT4'!SCDPT4_9799999_14</f>
        <v>-2399093.46</v>
      </c>
      <c r="Q329" s="32">
        <f>'GMIC_2020-Annu_SCDPT4'!SCDPT4_8399999_15+'GMIC_2020-Annu_SCDPT4'!SCDPT4_8999999_15+'GMIC_2020-Annu_SCDPT4'!SCDPT4_9799999_15</f>
        <v>0</v>
      </c>
      <c r="R329" s="32">
        <f>'GMIC_2020-Annu_SCDPT4'!SCDPT4_8399999_16+'GMIC_2020-Annu_SCDPT4'!SCDPT4_8999999_16+'GMIC_2020-Annu_SCDPT4'!SCDPT4_9799999_16</f>
        <v>886017194</v>
      </c>
      <c r="S329" s="32">
        <f>'GMIC_2020-Annu_SCDPT4'!SCDPT4_8399999_17+'GMIC_2020-Annu_SCDPT4'!SCDPT4_8999999_17+'GMIC_2020-Annu_SCDPT4'!SCDPT4_9799999_17</f>
        <v>0</v>
      </c>
      <c r="T329" s="32">
        <f>'GMIC_2020-Annu_SCDPT4'!SCDPT4_8399999_18+'GMIC_2020-Annu_SCDPT4'!SCDPT4_8999999_18+'GMIC_2020-Annu_SCDPT4'!SCDPT4_9799999_18</f>
        <v>-1705996</v>
      </c>
      <c r="U329" s="32">
        <f>'GMIC_2020-Annu_SCDPT4'!SCDPT4_8399999_19+'GMIC_2020-Annu_SCDPT4'!SCDPT4_8999999_19+'GMIC_2020-Annu_SCDPT4'!SCDPT4_9799999_19</f>
        <v>-1705996</v>
      </c>
      <c r="V329" s="32">
        <f>'GMIC_2020-Annu_SCDPT4'!SCDPT4_8399999_20+'GMIC_2020-Annu_SCDPT4'!SCDPT4_8999999_20+'GMIC_2020-Annu_SCDPT4'!SCDPT4_9799999_20</f>
        <v>22990278.899999999</v>
      </c>
      <c r="W329" s="26"/>
      <c r="X329" s="26"/>
      <c r="Y329" s="26"/>
      <c r="Z329" s="26"/>
      <c r="AA329" s="26"/>
      <c r="AB329" s="26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&amp;CSCDPT4SCDPT4</oddHeader>
    <oddFooter>&amp;LWing Application : &amp;R SaveAs(2/25/2021-10:18 AM)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B144"/>
  <sheetViews>
    <sheetView workbookViewId="0"/>
  </sheetViews>
  <sheetFormatPr defaultRowHeight="13.8" x14ac:dyDescent="0.25"/>
  <cols>
    <col min="1" max="1" width="1.69921875" customWidth="1"/>
    <col min="2" max="2" width="9.69921875" customWidth="1"/>
    <col min="3" max="4" width="25.69921875" customWidth="1"/>
    <col min="5" max="5" width="59.69921875" customWidth="1"/>
    <col min="6" max="6" width="10.69921875" customWidth="1"/>
    <col min="7" max="7" width="25.69921875" customWidth="1"/>
    <col min="8" max="8" width="10.69921875" customWidth="1"/>
    <col min="9" max="9" width="25.69921875" customWidth="1"/>
    <col min="10" max="23" width="14.69921875" customWidth="1"/>
    <col min="24" max="24" width="10.69921875" customWidth="1"/>
    <col min="25" max="25" width="20.69921875" customWidth="1"/>
    <col min="26" max="27" width="25.69921875" customWidth="1"/>
    <col min="28" max="28" width="10.69921875" customWidth="1"/>
  </cols>
  <sheetData>
    <row r="1" spans="2:28" x14ac:dyDescent="0.25">
      <c r="C1" s="35" t="s">
        <v>1621</v>
      </c>
      <c r="D1" s="35" t="s">
        <v>1151</v>
      </c>
      <c r="E1" s="35" t="s">
        <v>1622</v>
      </c>
      <c r="F1" s="35" t="s">
        <v>245</v>
      </c>
    </row>
    <row r="2" spans="2:28" x14ac:dyDescent="0.25">
      <c r="B2" s="52"/>
      <c r="C2" s="45" t="str">
        <f>'GMIC_2020-Annu_SCDPT1'!Wings_Company_ID</f>
        <v>GMIC</v>
      </c>
      <c r="D2" s="45" t="str">
        <f>'GMIC_2020-Annu_SCDPT1'!Wings_Statement_ID</f>
        <v>2020-Annual</v>
      </c>
      <c r="E2" s="41" t="s">
        <v>544</v>
      </c>
      <c r="F2" s="41" t="s">
        <v>1972</v>
      </c>
    </row>
    <row r="3" spans="2:28" ht="40.049999999999997" customHeight="1" x14ac:dyDescent="0.25">
      <c r="B3" s="59" t="s">
        <v>2429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2:28" ht="40.049999999999997" customHeight="1" x14ac:dyDescent="0.4">
      <c r="B4" s="58" t="s">
        <v>4189</v>
      </c>
      <c r="C4" s="13"/>
      <c r="D4" s="13"/>
      <c r="E4" s="13"/>
      <c r="F4" s="70"/>
      <c r="G4" s="13"/>
      <c r="H4" s="70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2:28" x14ac:dyDescent="0.25">
      <c r="B5" s="57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  <c r="Q5" s="12">
        <v>15</v>
      </c>
      <c r="R5" s="12">
        <v>16</v>
      </c>
      <c r="S5" s="12">
        <v>17</v>
      </c>
      <c r="T5" s="12">
        <v>18</v>
      </c>
      <c r="U5" s="12">
        <v>19</v>
      </c>
      <c r="V5" s="12">
        <v>20</v>
      </c>
      <c r="W5" s="12">
        <v>21</v>
      </c>
      <c r="X5" s="12">
        <v>22</v>
      </c>
      <c r="Y5" s="12">
        <v>23</v>
      </c>
      <c r="Z5" s="12">
        <v>24</v>
      </c>
      <c r="AA5" s="12">
        <v>25</v>
      </c>
      <c r="AB5" s="12">
        <v>26</v>
      </c>
    </row>
    <row r="6" spans="2:28" ht="46.2" x14ac:dyDescent="0.25">
      <c r="B6" s="56"/>
      <c r="C6" s="14" t="s">
        <v>2706</v>
      </c>
      <c r="D6" s="14" t="s">
        <v>1978</v>
      </c>
      <c r="E6" s="14" t="s">
        <v>3307</v>
      </c>
      <c r="F6" s="14" t="s">
        <v>2433</v>
      </c>
      <c r="G6" s="14" t="s">
        <v>1101</v>
      </c>
      <c r="H6" s="14" t="s">
        <v>2186</v>
      </c>
      <c r="I6" s="14" t="s">
        <v>4160</v>
      </c>
      <c r="J6" s="14" t="s">
        <v>4432</v>
      </c>
      <c r="K6" s="14" t="s">
        <v>1342</v>
      </c>
      <c r="L6" s="14" t="s">
        <v>2187</v>
      </c>
      <c r="M6" s="14" t="s">
        <v>2207</v>
      </c>
      <c r="N6" s="14" t="s">
        <v>885</v>
      </c>
      <c r="O6" s="14" t="s">
        <v>2431</v>
      </c>
      <c r="P6" s="14" t="s">
        <v>2712</v>
      </c>
      <c r="Q6" s="14" t="s">
        <v>1336</v>
      </c>
      <c r="R6" s="14" t="s">
        <v>2</v>
      </c>
      <c r="S6" s="14" t="s">
        <v>3035</v>
      </c>
      <c r="T6" s="14" t="s">
        <v>844</v>
      </c>
      <c r="U6" s="14" t="s">
        <v>845</v>
      </c>
      <c r="V6" s="14" t="s">
        <v>3300</v>
      </c>
      <c r="W6" s="14" t="s">
        <v>1102</v>
      </c>
      <c r="X6" s="14" t="s">
        <v>549</v>
      </c>
      <c r="Y6" s="14" t="s">
        <v>3309</v>
      </c>
      <c r="Z6" s="14" t="s">
        <v>3065</v>
      </c>
      <c r="AA6" s="14" t="s">
        <v>550</v>
      </c>
      <c r="AB6" s="14" t="s">
        <v>2434</v>
      </c>
    </row>
    <row r="7" spans="2:28" x14ac:dyDescent="0.25">
      <c r="B7" s="7" t="s">
        <v>2713</v>
      </c>
      <c r="C7" s="1" t="s">
        <v>2713</v>
      </c>
      <c r="D7" s="8" t="s">
        <v>2713</v>
      </c>
      <c r="E7" s="1" t="s">
        <v>2713</v>
      </c>
      <c r="F7" s="1" t="s">
        <v>2713</v>
      </c>
      <c r="G7" s="1" t="s">
        <v>2713</v>
      </c>
      <c r="H7" s="1" t="s">
        <v>2713</v>
      </c>
      <c r="I7" s="1" t="s">
        <v>2713</v>
      </c>
      <c r="J7" s="1" t="s">
        <v>2713</v>
      </c>
      <c r="K7" s="1" t="s">
        <v>2713</v>
      </c>
      <c r="L7" s="1" t="s">
        <v>2713</v>
      </c>
      <c r="M7" s="1" t="s">
        <v>2713</v>
      </c>
      <c r="N7" s="1" t="s">
        <v>2713</v>
      </c>
      <c r="O7" s="1" t="s">
        <v>2713</v>
      </c>
      <c r="P7" s="1" t="s">
        <v>2713</v>
      </c>
      <c r="Q7" s="1" t="s">
        <v>2713</v>
      </c>
      <c r="R7" s="1" t="s">
        <v>2713</v>
      </c>
      <c r="S7" s="1" t="s">
        <v>2713</v>
      </c>
      <c r="T7" s="1" t="s">
        <v>2713</v>
      </c>
      <c r="U7" s="1" t="s">
        <v>2713</v>
      </c>
      <c r="V7" s="1" t="s">
        <v>2713</v>
      </c>
      <c r="W7" s="1" t="s">
        <v>2713</v>
      </c>
      <c r="X7" s="1" t="s">
        <v>2713</v>
      </c>
      <c r="Y7" s="1" t="s">
        <v>2713</v>
      </c>
      <c r="Z7" s="1" t="s">
        <v>2713</v>
      </c>
      <c r="AA7" s="1" t="s">
        <v>2713</v>
      </c>
      <c r="AB7" s="1" t="s">
        <v>2713</v>
      </c>
    </row>
    <row r="8" spans="2:28" x14ac:dyDescent="0.25">
      <c r="B8" s="18" t="s">
        <v>3301</v>
      </c>
      <c r="C8" s="25" t="s">
        <v>3846</v>
      </c>
      <c r="D8" s="20" t="s">
        <v>3</v>
      </c>
      <c r="E8" s="22" t="s">
        <v>3</v>
      </c>
      <c r="F8" s="6"/>
      <c r="G8" s="5" t="s">
        <v>3</v>
      </c>
      <c r="H8" s="6"/>
      <c r="I8" s="5" t="s">
        <v>3</v>
      </c>
      <c r="J8" s="4"/>
      <c r="K8" s="4"/>
      <c r="L8" s="4"/>
      <c r="M8" s="4"/>
      <c r="N8" s="4"/>
      <c r="O8" s="4"/>
      <c r="P8" s="4"/>
      <c r="Q8" s="24"/>
      <c r="R8" s="4"/>
      <c r="S8" s="4"/>
      <c r="T8" s="4"/>
      <c r="U8" s="24"/>
      <c r="V8" s="4"/>
      <c r="W8" s="4"/>
      <c r="X8" s="2"/>
      <c r="Y8" s="5" t="s">
        <v>3</v>
      </c>
      <c r="Z8" s="5" t="s">
        <v>3</v>
      </c>
      <c r="AA8" s="5" t="s">
        <v>3</v>
      </c>
      <c r="AB8" s="16" t="s">
        <v>3</v>
      </c>
    </row>
    <row r="9" spans="2:28" x14ac:dyDescent="0.25">
      <c r="B9" s="7" t="s">
        <v>2713</v>
      </c>
      <c r="C9" s="1" t="s">
        <v>2713</v>
      </c>
      <c r="D9" s="8" t="s">
        <v>2713</v>
      </c>
      <c r="E9" s="1" t="s">
        <v>2713</v>
      </c>
      <c r="F9" s="1" t="s">
        <v>2713</v>
      </c>
      <c r="G9" s="1" t="s">
        <v>2713</v>
      </c>
      <c r="H9" s="1" t="s">
        <v>2713</v>
      </c>
      <c r="I9" s="1" t="s">
        <v>2713</v>
      </c>
      <c r="J9" s="1" t="s">
        <v>2713</v>
      </c>
      <c r="K9" s="1" t="s">
        <v>2713</v>
      </c>
      <c r="L9" s="1" t="s">
        <v>2713</v>
      </c>
      <c r="M9" s="1" t="s">
        <v>2713</v>
      </c>
      <c r="N9" s="1" t="s">
        <v>2713</v>
      </c>
      <c r="O9" s="1" t="s">
        <v>2713</v>
      </c>
      <c r="P9" s="1" t="s">
        <v>2713</v>
      </c>
      <c r="Q9" s="1" t="s">
        <v>2713</v>
      </c>
      <c r="R9" s="1" t="s">
        <v>2713</v>
      </c>
      <c r="S9" s="1" t="s">
        <v>2713</v>
      </c>
      <c r="T9" s="1" t="s">
        <v>2713</v>
      </c>
      <c r="U9" s="1" t="s">
        <v>2713</v>
      </c>
      <c r="V9" s="1" t="s">
        <v>2713</v>
      </c>
      <c r="W9" s="1" t="s">
        <v>2713</v>
      </c>
      <c r="X9" s="1" t="s">
        <v>2713</v>
      </c>
      <c r="Y9" s="1" t="s">
        <v>2713</v>
      </c>
      <c r="Z9" s="1" t="s">
        <v>2713</v>
      </c>
      <c r="AA9" s="1" t="s">
        <v>2713</v>
      </c>
      <c r="AB9" s="1" t="s">
        <v>2713</v>
      </c>
    </row>
    <row r="10" spans="2:28" ht="27.6" x14ac:dyDescent="0.25">
      <c r="B10" s="21" t="s">
        <v>4</v>
      </c>
      <c r="C10" s="19" t="s">
        <v>2993</v>
      </c>
      <c r="D10" s="17"/>
      <c r="E10" s="2"/>
      <c r="F10" s="2"/>
      <c r="G10" s="2"/>
      <c r="H10" s="2"/>
      <c r="I10" s="2"/>
      <c r="J10" s="3">
        <f>SUM('GMIC_2020-Annu_SCDPT5'!SCDPT5_05BEGIN_8:'GMIC_2020-Annu_SCDPT5'!SCDPT5_05ENDIN_8)</f>
        <v>0</v>
      </c>
      <c r="K10" s="3">
        <f>SUM('GMIC_2020-Annu_SCDPT5'!SCDPT5_05BEGIN_9:'GMIC_2020-Annu_SCDPT5'!SCDPT5_05ENDIN_9)</f>
        <v>0</v>
      </c>
      <c r="L10" s="3">
        <f>SUM('GMIC_2020-Annu_SCDPT5'!SCDPT5_05BEGIN_10:'GMIC_2020-Annu_SCDPT5'!SCDPT5_05ENDIN_10)</f>
        <v>0</v>
      </c>
      <c r="M10" s="3">
        <f>SUM('GMIC_2020-Annu_SCDPT5'!SCDPT5_05BEGIN_11:'GMIC_2020-Annu_SCDPT5'!SCDPT5_05ENDIN_11)</f>
        <v>0</v>
      </c>
      <c r="N10" s="3">
        <f>SUM('GMIC_2020-Annu_SCDPT5'!SCDPT5_05BEGIN_12:'GMIC_2020-Annu_SCDPT5'!SCDPT5_05ENDIN_12)</f>
        <v>0</v>
      </c>
      <c r="O10" s="3">
        <f>SUM('GMIC_2020-Annu_SCDPT5'!SCDPT5_05BEGIN_13:'GMIC_2020-Annu_SCDPT5'!SCDPT5_05ENDIN_13)</f>
        <v>0</v>
      </c>
      <c r="P10" s="3">
        <f>SUM('GMIC_2020-Annu_SCDPT5'!SCDPT5_05BEGIN_14:'GMIC_2020-Annu_SCDPT5'!SCDPT5_05ENDIN_14)</f>
        <v>0</v>
      </c>
      <c r="Q10" s="3">
        <f>SUM('GMIC_2020-Annu_SCDPT5'!SCDPT5_05BEGIN_15:'GMIC_2020-Annu_SCDPT5'!SCDPT5_05ENDIN_15)</f>
        <v>0</v>
      </c>
      <c r="R10" s="3">
        <f>SUM('GMIC_2020-Annu_SCDPT5'!SCDPT5_05BEGIN_16:'GMIC_2020-Annu_SCDPT5'!SCDPT5_05ENDIN_16)</f>
        <v>0</v>
      </c>
      <c r="S10" s="3">
        <f>SUM('GMIC_2020-Annu_SCDPT5'!SCDPT5_05BEGIN_17:'GMIC_2020-Annu_SCDPT5'!SCDPT5_05ENDIN_17)</f>
        <v>0</v>
      </c>
      <c r="T10" s="3">
        <f>SUM('GMIC_2020-Annu_SCDPT5'!SCDPT5_05BEGIN_18:'GMIC_2020-Annu_SCDPT5'!SCDPT5_05ENDIN_18)</f>
        <v>0</v>
      </c>
      <c r="U10" s="3">
        <f>SUM('GMIC_2020-Annu_SCDPT5'!SCDPT5_05BEGIN_19:'GMIC_2020-Annu_SCDPT5'!SCDPT5_05ENDIN_19)</f>
        <v>0</v>
      </c>
      <c r="V10" s="3">
        <f>SUM('GMIC_2020-Annu_SCDPT5'!SCDPT5_05BEGIN_20:'GMIC_2020-Annu_SCDPT5'!SCDPT5_05ENDIN_20)</f>
        <v>0</v>
      </c>
      <c r="W10" s="3">
        <f>SUM('GMIC_2020-Annu_SCDPT5'!SCDPT5_05BEGIN_21:'GMIC_2020-Annu_SCDPT5'!SCDPT5_05ENDIN_21)</f>
        <v>0</v>
      </c>
      <c r="X10" s="2"/>
      <c r="Y10" s="2"/>
      <c r="Z10" s="2"/>
      <c r="AA10" s="2"/>
      <c r="AB10" s="2"/>
    </row>
    <row r="11" spans="2:28" x14ac:dyDescent="0.25">
      <c r="B11" s="7" t="s">
        <v>2713</v>
      </c>
      <c r="C11" s="1" t="s">
        <v>2713</v>
      </c>
      <c r="D11" s="8" t="s">
        <v>2713</v>
      </c>
      <c r="E11" s="1" t="s">
        <v>2713</v>
      </c>
      <c r="F11" s="1" t="s">
        <v>2713</v>
      </c>
      <c r="G11" s="1" t="s">
        <v>2713</v>
      </c>
      <c r="H11" s="1" t="s">
        <v>2713</v>
      </c>
      <c r="I11" s="1" t="s">
        <v>2713</v>
      </c>
      <c r="J11" s="1" t="s">
        <v>2713</v>
      </c>
      <c r="K11" s="1" t="s">
        <v>2713</v>
      </c>
      <c r="L11" s="1" t="s">
        <v>2713</v>
      </c>
      <c r="M11" s="1" t="s">
        <v>2713</v>
      </c>
      <c r="N11" s="1" t="s">
        <v>2713</v>
      </c>
      <c r="O11" s="1" t="s">
        <v>2713</v>
      </c>
      <c r="P11" s="1" t="s">
        <v>2713</v>
      </c>
      <c r="Q11" s="1" t="s">
        <v>2713</v>
      </c>
      <c r="R11" s="1" t="s">
        <v>2713</v>
      </c>
      <c r="S11" s="1" t="s">
        <v>2713</v>
      </c>
      <c r="T11" s="1" t="s">
        <v>2713</v>
      </c>
      <c r="U11" s="1" t="s">
        <v>2713</v>
      </c>
      <c r="V11" s="1" t="s">
        <v>2713</v>
      </c>
      <c r="W11" s="1" t="s">
        <v>2713</v>
      </c>
      <c r="X11" s="1" t="s">
        <v>2713</v>
      </c>
      <c r="Y11" s="1" t="s">
        <v>2713</v>
      </c>
      <c r="Z11" s="1" t="s">
        <v>2713</v>
      </c>
      <c r="AA11" s="1" t="s">
        <v>2713</v>
      </c>
      <c r="AB11" s="1" t="s">
        <v>2713</v>
      </c>
    </row>
    <row r="12" spans="2:28" x14ac:dyDescent="0.25">
      <c r="B12" s="18" t="s">
        <v>2208</v>
      </c>
      <c r="C12" s="44" t="s">
        <v>879</v>
      </c>
      <c r="D12" s="20" t="s">
        <v>3302</v>
      </c>
      <c r="E12" s="22" t="s">
        <v>1157</v>
      </c>
      <c r="F12" s="11">
        <v>43937</v>
      </c>
      <c r="G12" s="5" t="s">
        <v>3790</v>
      </c>
      <c r="H12" s="11">
        <v>43973</v>
      </c>
      <c r="I12" s="5" t="s">
        <v>999</v>
      </c>
      <c r="J12" s="4">
        <v>3000000</v>
      </c>
      <c r="K12" s="4">
        <v>3000060</v>
      </c>
      <c r="L12" s="4">
        <v>3112500</v>
      </c>
      <c r="M12" s="4">
        <v>3000040</v>
      </c>
      <c r="N12" s="4">
        <v>0</v>
      </c>
      <c r="O12" s="4">
        <v>-20</v>
      </c>
      <c r="P12" s="4">
        <v>0</v>
      </c>
      <c r="Q12" s="3">
        <f>'GMIC_2020-Annu_SCDPT5'!SCDPT5_1000001_12+'GMIC_2020-Annu_SCDPT5'!SCDPT5_1000001_13-'GMIC_2020-Annu_SCDPT5'!SCDPT5_1000001_14</f>
        <v>-20</v>
      </c>
      <c r="R12" s="4">
        <v>0</v>
      </c>
      <c r="S12" s="4">
        <v>0</v>
      </c>
      <c r="T12" s="4">
        <v>112460</v>
      </c>
      <c r="U12" s="3">
        <f>'GMIC_2020-Annu_SCDPT5'!SCDPT5_1000001_17+'GMIC_2020-Annu_SCDPT5'!SCDPT5_1000001_18</f>
        <v>112460</v>
      </c>
      <c r="V12" s="4">
        <v>6777</v>
      </c>
      <c r="W12" s="4">
        <v>0</v>
      </c>
      <c r="X12" s="2"/>
      <c r="Y12" s="5" t="s">
        <v>3</v>
      </c>
      <c r="Z12" s="5" t="s">
        <v>4433</v>
      </c>
      <c r="AA12" s="5" t="s">
        <v>3</v>
      </c>
      <c r="AB12" s="16" t="s">
        <v>3</v>
      </c>
    </row>
    <row r="13" spans="2:28" x14ac:dyDescent="0.25">
      <c r="B13" s="7" t="s">
        <v>2713</v>
      </c>
      <c r="C13" s="1" t="s">
        <v>2713</v>
      </c>
      <c r="D13" s="8" t="s">
        <v>2713</v>
      </c>
      <c r="E13" s="1" t="s">
        <v>2713</v>
      </c>
      <c r="F13" s="15" t="s">
        <v>2713</v>
      </c>
      <c r="G13" s="1" t="s">
        <v>2713</v>
      </c>
      <c r="H13" s="15" t="s">
        <v>2713</v>
      </c>
      <c r="I13" s="1" t="s">
        <v>2713</v>
      </c>
      <c r="J13" s="1" t="s">
        <v>2713</v>
      </c>
      <c r="K13" s="1" t="s">
        <v>2713</v>
      </c>
      <c r="L13" s="1" t="s">
        <v>2713</v>
      </c>
      <c r="M13" s="1" t="s">
        <v>2713</v>
      </c>
      <c r="N13" s="1" t="s">
        <v>2713</v>
      </c>
      <c r="O13" s="1" t="s">
        <v>2713</v>
      </c>
      <c r="P13" s="1" t="s">
        <v>2713</v>
      </c>
      <c r="Q13" s="1" t="s">
        <v>2713</v>
      </c>
      <c r="R13" s="1" t="s">
        <v>2713</v>
      </c>
      <c r="S13" s="1" t="s">
        <v>2713</v>
      </c>
      <c r="T13" s="1" t="s">
        <v>2713</v>
      </c>
      <c r="U13" s="1" t="s">
        <v>2713</v>
      </c>
      <c r="V13" s="1" t="s">
        <v>2713</v>
      </c>
      <c r="W13" s="1" t="s">
        <v>2713</v>
      </c>
      <c r="X13" s="1" t="s">
        <v>2713</v>
      </c>
      <c r="Y13" s="1" t="s">
        <v>2713</v>
      </c>
      <c r="Z13" s="1" t="s">
        <v>2713</v>
      </c>
      <c r="AA13" s="1" t="s">
        <v>2713</v>
      </c>
      <c r="AB13" s="1" t="s">
        <v>2713</v>
      </c>
    </row>
    <row r="14" spans="2:28" ht="27.6" x14ac:dyDescent="0.25">
      <c r="B14" s="21" t="s">
        <v>2220</v>
      </c>
      <c r="C14" s="19" t="s">
        <v>2176</v>
      </c>
      <c r="D14" s="17"/>
      <c r="E14" s="2"/>
      <c r="F14" s="27"/>
      <c r="G14" s="2"/>
      <c r="H14" s="27"/>
      <c r="I14" s="2"/>
      <c r="J14" s="3">
        <f>SUM('GMIC_2020-Annu_SCDPT5'!SCDPT5_10BEGIN_8:'GMIC_2020-Annu_SCDPT5'!SCDPT5_10ENDIN_8)</f>
        <v>3000000</v>
      </c>
      <c r="K14" s="3">
        <f>SUM('GMIC_2020-Annu_SCDPT5'!SCDPT5_10BEGIN_9:'GMIC_2020-Annu_SCDPT5'!SCDPT5_10ENDIN_9)</f>
        <v>3000060</v>
      </c>
      <c r="L14" s="3">
        <f>SUM('GMIC_2020-Annu_SCDPT5'!SCDPT5_10BEGIN_10:'GMIC_2020-Annu_SCDPT5'!SCDPT5_10ENDIN_10)</f>
        <v>3112500</v>
      </c>
      <c r="M14" s="3">
        <f>SUM('GMIC_2020-Annu_SCDPT5'!SCDPT5_10BEGIN_11:'GMIC_2020-Annu_SCDPT5'!SCDPT5_10ENDIN_11)</f>
        <v>3000040</v>
      </c>
      <c r="N14" s="3">
        <f>SUM('GMIC_2020-Annu_SCDPT5'!SCDPT5_10BEGIN_12:'GMIC_2020-Annu_SCDPT5'!SCDPT5_10ENDIN_12)</f>
        <v>0</v>
      </c>
      <c r="O14" s="3">
        <f>SUM('GMIC_2020-Annu_SCDPT5'!SCDPT5_10BEGIN_13:'GMIC_2020-Annu_SCDPT5'!SCDPT5_10ENDIN_13)</f>
        <v>-20</v>
      </c>
      <c r="P14" s="3">
        <f>SUM('GMIC_2020-Annu_SCDPT5'!SCDPT5_10BEGIN_14:'GMIC_2020-Annu_SCDPT5'!SCDPT5_10ENDIN_14)</f>
        <v>0</v>
      </c>
      <c r="Q14" s="3">
        <f>SUM('GMIC_2020-Annu_SCDPT5'!SCDPT5_10BEGIN_15:'GMIC_2020-Annu_SCDPT5'!SCDPT5_10ENDIN_15)</f>
        <v>-20</v>
      </c>
      <c r="R14" s="3">
        <f>SUM('GMIC_2020-Annu_SCDPT5'!SCDPT5_10BEGIN_16:'GMIC_2020-Annu_SCDPT5'!SCDPT5_10ENDIN_16)</f>
        <v>0</v>
      </c>
      <c r="S14" s="3">
        <f>SUM('GMIC_2020-Annu_SCDPT5'!SCDPT5_10BEGIN_17:'GMIC_2020-Annu_SCDPT5'!SCDPT5_10ENDIN_17)</f>
        <v>0</v>
      </c>
      <c r="T14" s="3">
        <f>SUM('GMIC_2020-Annu_SCDPT5'!SCDPT5_10BEGIN_18:'GMIC_2020-Annu_SCDPT5'!SCDPT5_10ENDIN_18)</f>
        <v>112460</v>
      </c>
      <c r="U14" s="3">
        <f>SUM('GMIC_2020-Annu_SCDPT5'!SCDPT5_10BEGIN_19:'GMIC_2020-Annu_SCDPT5'!SCDPT5_10ENDIN_19)</f>
        <v>112460</v>
      </c>
      <c r="V14" s="3">
        <f>SUM('GMIC_2020-Annu_SCDPT5'!SCDPT5_10BEGIN_20:'GMIC_2020-Annu_SCDPT5'!SCDPT5_10ENDIN_20)</f>
        <v>6777</v>
      </c>
      <c r="W14" s="3">
        <f>SUM('GMIC_2020-Annu_SCDPT5'!SCDPT5_10BEGIN_21:'GMIC_2020-Annu_SCDPT5'!SCDPT5_10ENDIN_21)</f>
        <v>0</v>
      </c>
      <c r="X14" s="2"/>
      <c r="Y14" s="2"/>
      <c r="Z14" s="2"/>
      <c r="AA14" s="2"/>
      <c r="AB14" s="2"/>
    </row>
    <row r="15" spans="2:28" x14ac:dyDescent="0.25">
      <c r="B15" s="7" t="s">
        <v>2713</v>
      </c>
      <c r="C15" s="1" t="s">
        <v>2713</v>
      </c>
      <c r="D15" s="8" t="s">
        <v>2713</v>
      </c>
      <c r="E15" s="1" t="s">
        <v>2713</v>
      </c>
      <c r="F15" s="15" t="s">
        <v>2713</v>
      </c>
      <c r="G15" s="1" t="s">
        <v>2713</v>
      </c>
      <c r="H15" s="15" t="s">
        <v>2713</v>
      </c>
      <c r="I15" s="1" t="s">
        <v>2713</v>
      </c>
      <c r="J15" s="1" t="s">
        <v>2713</v>
      </c>
      <c r="K15" s="1" t="s">
        <v>2713</v>
      </c>
      <c r="L15" s="1" t="s">
        <v>2713</v>
      </c>
      <c r="M15" s="1" t="s">
        <v>2713</v>
      </c>
      <c r="N15" s="1" t="s">
        <v>2713</v>
      </c>
      <c r="O15" s="1" t="s">
        <v>2713</v>
      </c>
      <c r="P15" s="1" t="s">
        <v>2713</v>
      </c>
      <c r="Q15" s="1" t="s">
        <v>2713</v>
      </c>
      <c r="R15" s="1" t="s">
        <v>2713</v>
      </c>
      <c r="S15" s="1" t="s">
        <v>2713</v>
      </c>
      <c r="T15" s="1" t="s">
        <v>2713</v>
      </c>
      <c r="U15" s="1" t="s">
        <v>2713</v>
      </c>
      <c r="V15" s="1" t="s">
        <v>2713</v>
      </c>
      <c r="W15" s="1" t="s">
        <v>2713</v>
      </c>
      <c r="X15" s="1" t="s">
        <v>2713</v>
      </c>
      <c r="Y15" s="1" t="s">
        <v>2713</v>
      </c>
      <c r="Z15" s="1" t="s">
        <v>2713</v>
      </c>
      <c r="AA15" s="1" t="s">
        <v>2713</v>
      </c>
      <c r="AB15" s="1" t="s">
        <v>2713</v>
      </c>
    </row>
    <row r="16" spans="2:28" x14ac:dyDescent="0.25">
      <c r="B16" s="18" t="s">
        <v>4409</v>
      </c>
      <c r="C16" s="25" t="s">
        <v>3846</v>
      </c>
      <c r="D16" s="20" t="s">
        <v>3</v>
      </c>
      <c r="E16" s="22" t="s">
        <v>3</v>
      </c>
      <c r="F16" s="9"/>
      <c r="G16" s="5" t="s">
        <v>3</v>
      </c>
      <c r="H16" s="9"/>
      <c r="I16" s="5" t="s">
        <v>3</v>
      </c>
      <c r="J16" s="4"/>
      <c r="K16" s="4"/>
      <c r="L16" s="4"/>
      <c r="M16" s="4"/>
      <c r="N16" s="4"/>
      <c r="O16" s="4"/>
      <c r="P16" s="4"/>
      <c r="Q16" s="24"/>
      <c r="R16" s="4"/>
      <c r="S16" s="4"/>
      <c r="T16" s="4"/>
      <c r="U16" s="24"/>
      <c r="V16" s="4"/>
      <c r="W16" s="4"/>
      <c r="X16" s="42" t="s">
        <v>3</v>
      </c>
      <c r="Y16" s="5" t="s">
        <v>3</v>
      </c>
      <c r="Z16" s="5" t="s">
        <v>3</v>
      </c>
      <c r="AA16" s="5" t="s">
        <v>3</v>
      </c>
      <c r="AB16" s="16" t="s">
        <v>3</v>
      </c>
    </row>
    <row r="17" spans="2:28" x14ac:dyDescent="0.25">
      <c r="B17" s="7" t="s">
        <v>2713</v>
      </c>
      <c r="C17" s="1" t="s">
        <v>2713</v>
      </c>
      <c r="D17" s="8" t="s">
        <v>2713</v>
      </c>
      <c r="E17" s="1" t="s">
        <v>2713</v>
      </c>
      <c r="F17" s="15" t="s">
        <v>2713</v>
      </c>
      <c r="G17" s="1" t="s">
        <v>2713</v>
      </c>
      <c r="H17" s="15" t="s">
        <v>2713</v>
      </c>
      <c r="I17" s="1" t="s">
        <v>2713</v>
      </c>
      <c r="J17" s="1" t="s">
        <v>2713</v>
      </c>
      <c r="K17" s="1" t="s">
        <v>2713</v>
      </c>
      <c r="L17" s="1" t="s">
        <v>2713</v>
      </c>
      <c r="M17" s="1" t="s">
        <v>2713</v>
      </c>
      <c r="N17" s="1" t="s">
        <v>2713</v>
      </c>
      <c r="O17" s="1" t="s">
        <v>2713</v>
      </c>
      <c r="P17" s="1" t="s">
        <v>2713</v>
      </c>
      <c r="Q17" s="1" t="s">
        <v>2713</v>
      </c>
      <c r="R17" s="1" t="s">
        <v>2713</v>
      </c>
      <c r="S17" s="1" t="s">
        <v>2713</v>
      </c>
      <c r="T17" s="1" t="s">
        <v>2713</v>
      </c>
      <c r="U17" s="1" t="s">
        <v>2713</v>
      </c>
      <c r="V17" s="1" t="s">
        <v>2713</v>
      </c>
      <c r="W17" s="1" t="s">
        <v>2713</v>
      </c>
      <c r="X17" s="1" t="s">
        <v>2713</v>
      </c>
      <c r="Y17" s="1" t="s">
        <v>2713</v>
      </c>
      <c r="Z17" s="1" t="s">
        <v>2713</v>
      </c>
      <c r="AA17" s="1" t="s">
        <v>2713</v>
      </c>
      <c r="AB17" s="1" t="s">
        <v>2713</v>
      </c>
    </row>
    <row r="18" spans="2:28" ht="41.4" x14ac:dyDescent="0.25">
      <c r="B18" s="21" t="s">
        <v>1354</v>
      </c>
      <c r="C18" s="19" t="s">
        <v>2177</v>
      </c>
      <c r="D18" s="17"/>
      <c r="E18" s="2"/>
      <c r="F18" s="27"/>
      <c r="G18" s="2"/>
      <c r="H18" s="27"/>
      <c r="I18" s="2"/>
      <c r="J18" s="3">
        <f>SUM('GMIC_2020-Annu_SCDPT5'!SCDPT5_17BEGIN_8:'GMIC_2020-Annu_SCDPT5'!SCDPT5_17ENDIN_8)</f>
        <v>0</v>
      </c>
      <c r="K18" s="3">
        <f>SUM('GMIC_2020-Annu_SCDPT5'!SCDPT5_17BEGIN_9:'GMIC_2020-Annu_SCDPT5'!SCDPT5_17ENDIN_9)</f>
        <v>0</v>
      </c>
      <c r="L18" s="3">
        <f>SUM('GMIC_2020-Annu_SCDPT5'!SCDPT5_17BEGIN_10:'GMIC_2020-Annu_SCDPT5'!SCDPT5_17ENDIN_10)</f>
        <v>0</v>
      </c>
      <c r="M18" s="3">
        <f>SUM('GMIC_2020-Annu_SCDPT5'!SCDPT5_17BEGIN_11:'GMIC_2020-Annu_SCDPT5'!SCDPT5_17ENDIN_11)</f>
        <v>0</v>
      </c>
      <c r="N18" s="3">
        <f>SUM('GMIC_2020-Annu_SCDPT5'!SCDPT5_17BEGIN_12:'GMIC_2020-Annu_SCDPT5'!SCDPT5_17ENDIN_12)</f>
        <v>0</v>
      </c>
      <c r="O18" s="3">
        <f>SUM('GMIC_2020-Annu_SCDPT5'!SCDPT5_17BEGIN_13:'GMIC_2020-Annu_SCDPT5'!SCDPT5_17ENDIN_13)</f>
        <v>0</v>
      </c>
      <c r="P18" s="3">
        <f>SUM('GMIC_2020-Annu_SCDPT5'!SCDPT5_17BEGIN_14:'GMIC_2020-Annu_SCDPT5'!SCDPT5_17ENDIN_14)</f>
        <v>0</v>
      </c>
      <c r="Q18" s="3">
        <f>SUM('GMIC_2020-Annu_SCDPT5'!SCDPT5_17BEGIN_15:'GMIC_2020-Annu_SCDPT5'!SCDPT5_17ENDIN_15)</f>
        <v>0</v>
      </c>
      <c r="R18" s="3">
        <f>SUM('GMIC_2020-Annu_SCDPT5'!SCDPT5_17BEGIN_16:'GMIC_2020-Annu_SCDPT5'!SCDPT5_17ENDIN_16)</f>
        <v>0</v>
      </c>
      <c r="S18" s="3">
        <f>SUM('GMIC_2020-Annu_SCDPT5'!SCDPT5_17BEGIN_17:'GMIC_2020-Annu_SCDPT5'!SCDPT5_17ENDIN_17)</f>
        <v>0</v>
      </c>
      <c r="T18" s="3">
        <f>SUM('GMIC_2020-Annu_SCDPT5'!SCDPT5_17BEGIN_18:'GMIC_2020-Annu_SCDPT5'!SCDPT5_17ENDIN_18)</f>
        <v>0</v>
      </c>
      <c r="U18" s="3">
        <f>SUM('GMIC_2020-Annu_SCDPT5'!SCDPT5_17BEGIN_19:'GMIC_2020-Annu_SCDPT5'!SCDPT5_17ENDIN_19)</f>
        <v>0</v>
      </c>
      <c r="V18" s="3">
        <f>SUM('GMIC_2020-Annu_SCDPT5'!SCDPT5_17BEGIN_20:'GMIC_2020-Annu_SCDPT5'!SCDPT5_17ENDIN_20)</f>
        <v>0</v>
      </c>
      <c r="W18" s="3">
        <f>SUM('GMIC_2020-Annu_SCDPT5'!SCDPT5_17BEGIN_21:'GMIC_2020-Annu_SCDPT5'!SCDPT5_17ENDIN_21)</f>
        <v>0</v>
      </c>
      <c r="X18" s="2"/>
      <c r="Y18" s="2"/>
      <c r="Z18" s="2"/>
      <c r="AA18" s="2"/>
      <c r="AB18" s="2"/>
    </row>
    <row r="19" spans="2:28" x14ac:dyDescent="0.25">
      <c r="B19" s="7" t="s">
        <v>2713</v>
      </c>
      <c r="C19" s="1" t="s">
        <v>2713</v>
      </c>
      <c r="D19" s="8" t="s">
        <v>2713</v>
      </c>
      <c r="E19" s="1" t="s">
        <v>2713</v>
      </c>
      <c r="F19" s="15" t="s">
        <v>2713</v>
      </c>
      <c r="G19" s="1" t="s">
        <v>2713</v>
      </c>
      <c r="H19" s="15" t="s">
        <v>2713</v>
      </c>
      <c r="I19" s="1" t="s">
        <v>2713</v>
      </c>
      <c r="J19" s="1" t="s">
        <v>2713</v>
      </c>
      <c r="K19" s="1" t="s">
        <v>2713</v>
      </c>
      <c r="L19" s="1" t="s">
        <v>2713</v>
      </c>
      <c r="M19" s="1" t="s">
        <v>2713</v>
      </c>
      <c r="N19" s="1" t="s">
        <v>2713</v>
      </c>
      <c r="O19" s="1" t="s">
        <v>2713</v>
      </c>
      <c r="P19" s="1" t="s">
        <v>2713</v>
      </c>
      <c r="Q19" s="1" t="s">
        <v>2713</v>
      </c>
      <c r="R19" s="1" t="s">
        <v>2713</v>
      </c>
      <c r="S19" s="1" t="s">
        <v>2713</v>
      </c>
      <c r="T19" s="1" t="s">
        <v>2713</v>
      </c>
      <c r="U19" s="1" t="s">
        <v>2713</v>
      </c>
      <c r="V19" s="1" t="s">
        <v>2713</v>
      </c>
      <c r="W19" s="1" t="s">
        <v>2713</v>
      </c>
      <c r="X19" s="1" t="s">
        <v>2713</v>
      </c>
      <c r="Y19" s="1" t="s">
        <v>2713</v>
      </c>
      <c r="Z19" s="1" t="s">
        <v>2713</v>
      </c>
      <c r="AA19" s="1" t="s">
        <v>2713</v>
      </c>
      <c r="AB19" s="1" t="s">
        <v>2713</v>
      </c>
    </row>
    <row r="20" spans="2:28" x14ac:dyDescent="0.25">
      <c r="B20" s="18" t="s">
        <v>476</v>
      </c>
      <c r="C20" s="25" t="s">
        <v>3846</v>
      </c>
      <c r="D20" s="20" t="s">
        <v>3</v>
      </c>
      <c r="E20" s="22" t="s">
        <v>3</v>
      </c>
      <c r="F20" s="9"/>
      <c r="G20" s="5" t="s">
        <v>3</v>
      </c>
      <c r="H20" s="9"/>
      <c r="I20" s="5" t="s">
        <v>3</v>
      </c>
      <c r="J20" s="4"/>
      <c r="K20" s="4"/>
      <c r="L20" s="4"/>
      <c r="M20" s="4"/>
      <c r="N20" s="4"/>
      <c r="O20" s="4"/>
      <c r="P20" s="4"/>
      <c r="Q20" s="24"/>
      <c r="R20" s="4"/>
      <c r="S20" s="4"/>
      <c r="T20" s="4"/>
      <c r="U20" s="24"/>
      <c r="V20" s="4"/>
      <c r="W20" s="4"/>
      <c r="X20" s="42" t="s">
        <v>3</v>
      </c>
      <c r="Y20" s="5" t="s">
        <v>3</v>
      </c>
      <c r="Z20" s="5" t="s">
        <v>3</v>
      </c>
      <c r="AA20" s="5" t="s">
        <v>3</v>
      </c>
      <c r="AB20" s="16" t="s">
        <v>3</v>
      </c>
    </row>
    <row r="21" spans="2:28" x14ac:dyDescent="0.25">
      <c r="B21" s="7" t="s">
        <v>2713</v>
      </c>
      <c r="C21" s="1" t="s">
        <v>2713</v>
      </c>
      <c r="D21" s="8" t="s">
        <v>2713</v>
      </c>
      <c r="E21" s="1" t="s">
        <v>2713</v>
      </c>
      <c r="F21" s="15" t="s">
        <v>2713</v>
      </c>
      <c r="G21" s="1" t="s">
        <v>2713</v>
      </c>
      <c r="H21" s="15" t="s">
        <v>2713</v>
      </c>
      <c r="I21" s="1" t="s">
        <v>2713</v>
      </c>
      <c r="J21" s="1" t="s">
        <v>2713</v>
      </c>
      <c r="K21" s="1" t="s">
        <v>2713</v>
      </c>
      <c r="L21" s="1" t="s">
        <v>2713</v>
      </c>
      <c r="M21" s="1" t="s">
        <v>2713</v>
      </c>
      <c r="N21" s="1" t="s">
        <v>2713</v>
      </c>
      <c r="O21" s="1" t="s">
        <v>2713</v>
      </c>
      <c r="P21" s="1" t="s">
        <v>2713</v>
      </c>
      <c r="Q21" s="1" t="s">
        <v>2713</v>
      </c>
      <c r="R21" s="1" t="s">
        <v>2713</v>
      </c>
      <c r="S21" s="1" t="s">
        <v>2713</v>
      </c>
      <c r="T21" s="1" t="s">
        <v>2713</v>
      </c>
      <c r="U21" s="1" t="s">
        <v>2713</v>
      </c>
      <c r="V21" s="1" t="s">
        <v>2713</v>
      </c>
      <c r="W21" s="1" t="s">
        <v>2713</v>
      </c>
      <c r="X21" s="1" t="s">
        <v>2713</v>
      </c>
      <c r="Y21" s="1" t="s">
        <v>2713</v>
      </c>
      <c r="Z21" s="1" t="s">
        <v>2713</v>
      </c>
      <c r="AA21" s="1" t="s">
        <v>2713</v>
      </c>
      <c r="AB21" s="1" t="s">
        <v>2713</v>
      </c>
    </row>
    <row r="22" spans="2:28" ht="55.2" x14ac:dyDescent="0.25">
      <c r="B22" s="21" t="s">
        <v>1994</v>
      </c>
      <c r="C22" s="19" t="s">
        <v>3261</v>
      </c>
      <c r="D22" s="17"/>
      <c r="E22" s="2"/>
      <c r="F22" s="27"/>
      <c r="G22" s="2"/>
      <c r="H22" s="27"/>
      <c r="I22" s="2"/>
      <c r="J22" s="3">
        <f>SUM('GMIC_2020-Annu_SCDPT5'!SCDPT5_24BEGIN_8:'GMIC_2020-Annu_SCDPT5'!SCDPT5_24ENDIN_8)</f>
        <v>0</v>
      </c>
      <c r="K22" s="3">
        <f>SUM('GMIC_2020-Annu_SCDPT5'!SCDPT5_24BEGIN_9:'GMIC_2020-Annu_SCDPT5'!SCDPT5_24ENDIN_9)</f>
        <v>0</v>
      </c>
      <c r="L22" s="3">
        <f>SUM('GMIC_2020-Annu_SCDPT5'!SCDPT5_24BEGIN_10:'GMIC_2020-Annu_SCDPT5'!SCDPT5_24ENDIN_10)</f>
        <v>0</v>
      </c>
      <c r="M22" s="3">
        <f>SUM('GMIC_2020-Annu_SCDPT5'!SCDPT5_24BEGIN_11:'GMIC_2020-Annu_SCDPT5'!SCDPT5_24ENDIN_11)</f>
        <v>0</v>
      </c>
      <c r="N22" s="3">
        <f>SUM('GMIC_2020-Annu_SCDPT5'!SCDPT5_24BEGIN_12:'GMIC_2020-Annu_SCDPT5'!SCDPT5_24ENDIN_12)</f>
        <v>0</v>
      </c>
      <c r="O22" s="3">
        <f>SUM('GMIC_2020-Annu_SCDPT5'!SCDPT5_24BEGIN_13:'GMIC_2020-Annu_SCDPT5'!SCDPT5_24ENDIN_13)</f>
        <v>0</v>
      </c>
      <c r="P22" s="3">
        <f>SUM('GMIC_2020-Annu_SCDPT5'!SCDPT5_24BEGIN_14:'GMIC_2020-Annu_SCDPT5'!SCDPT5_24ENDIN_14)</f>
        <v>0</v>
      </c>
      <c r="Q22" s="3">
        <f>SUM('GMIC_2020-Annu_SCDPT5'!SCDPT5_24BEGIN_15:'GMIC_2020-Annu_SCDPT5'!SCDPT5_24ENDIN_15)</f>
        <v>0</v>
      </c>
      <c r="R22" s="3">
        <f>SUM('GMIC_2020-Annu_SCDPT5'!SCDPT5_24BEGIN_16:'GMIC_2020-Annu_SCDPT5'!SCDPT5_24ENDIN_16)</f>
        <v>0</v>
      </c>
      <c r="S22" s="3">
        <f>SUM('GMIC_2020-Annu_SCDPT5'!SCDPT5_24BEGIN_17:'GMIC_2020-Annu_SCDPT5'!SCDPT5_24ENDIN_17)</f>
        <v>0</v>
      </c>
      <c r="T22" s="3">
        <f>SUM('GMIC_2020-Annu_SCDPT5'!SCDPT5_24BEGIN_18:'GMIC_2020-Annu_SCDPT5'!SCDPT5_24ENDIN_18)</f>
        <v>0</v>
      </c>
      <c r="U22" s="3">
        <f>SUM('GMIC_2020-Annu_SCDPT5'!SCDPT5_24BEGIN_19:'GMIC_2020-Annu_SCDPT5'!SCDPT5_24ENDIN_19)</f>
        <v>0</v>
      </c>
      <c r="V22" s="3">
        <f>SUM('GMIC_2020-Annu_SCDPT5'!SCDPT5_24BEGIN_20:'GMIC_2020-Annu_SCDPT5'!SCDPT5_24ENDIN_20)</f>
        <v>0</v>
      </c>
      <c r="W22" s="3">
        <f>SUM('GMIC_2020-Annu_SCDPT5'!SCDPT5_24BEGIN_21:'GMIC_2020-Annu_SCDPT5'!SCDPT5_24ENDIN_21)</f>
        <v>0</v>
      </c>
      <c r="X22" s="2"/>
      <c r="Y22" s="2"/>
      <c r="Z22" s="2"/>
      <c r="AA22" s="2"/>
      <c r="AB22" s="2"/>
    </row>
    <row r="23" spans="2:28" x14ac:dyDescent="0.25">
      <c r="B23" s="7" t="s">
        <v>2713</v>
      </c>
      <c r="C23" s="1" t="s">
        <v>2713</v>
      </c>
      <c r="D23" s="8" t="s">
        <v>2713</v>
      </c>
      <c r="E23" s="1" t="s">
        <v>2713</v>
      </c>
      <c r="F23" s="15" t="s">
        <v>2713</v>
      </c>
      <c r="G23" s="1" t="s">
        <v>2713</v>
      </c>
      <c r="H23" s="15" t="s">
        <v>2713</v>
      </c>
      <c r="I23" s="1" t="s">
        <v>2713</v>
      </c>
      <c r="J23" s="1" t="s">
        <v>2713</v>
      </c>
      <c r="K23" s="1" t="s">
        <v>2713</v>
      </c>
      <c r="L23" s="1" t="s">
        <v>2713</v>
      </c>
      <c r="M23" s="1" t="s">
        <v>2713</v>
      </c>
      <c r="N23" s="1" t="s">
        <v>2713</v>
      </c>
      <c r="O23" s="1" t="s">
        <v>2713</v>
      </c>
      <c r="P23" s="1" t="s">
        <v>2713</v>
      </c>
      <c r="Q23" s="1" t="s">
        <v>2713</v>
      </c>
      <c r="R23" s="1" t="s">
        <v>2713</v>
      </c>
      <c r="S23" s="1" t="s">
        <v>2713</v>
      </c>
      <c r="T23" s="1" t="s">
        <v>2713</v>
      </c>
      <c r="U23" s="1" t="s">
        <v>2713</v>
      </c>
      <c r="V23" s="1" t="s">
        <v>2713</v>
      </c>
      <c r="W23" s="1" t="s">
        <v>2713</v>
      </c>
      <c r="X23" s="1" t="s">
        <v>2713</v>
      </c>
      <c r="Y23" s="1" t="s">
        <v>2713</v>
      </c>
      <c r="Z23" s="1" t="s">
        <v>2713</v>
      </c>
      <c r="AA23" s="1" t="s">
        <v>2713</v>
      </c>
      <c r="AB23" s="1" t="s">
        <v>2713</v>
      </c>
    </row>
    <row r="24" spans="2:28" x14ac:dyDescent="0.25">
      <c r="B24" s="18" t="s">
        <v>1144</v>
      </c>
      <c r="C24" s="25" t="s">
        <v>3846</v>
      </c>
      <c r="D24" s="20" t="s">
        <v>3</v>
      </c>
      <c r="E24" s="22" t="s">
        <v>3</v>
      </c>
      <c r="F24" s="9"/>
      <c r="G24" s="5" t="s">
        <v>3</v>
      </c>
      <c r="H24" s="9"/>
      <c r="I24" s="5" t="s">
        <v>3</v>
      </c>
      <c r="J24" s="4"/>
      <c r="K24" s="4"/>
      <c r="L24" s="4"/>
      <c r="M24" s="4"/>
      <c r="N24" s="4"/>
      <c r="O24" s="4"/>
      <c r="P24" s="4"/>
      <c r="Q24" s="24"/>
      <c r="R24" s="4"/>
      <c r="S24" s="4"/>
      <c r="T24" s="4"/>
      <c r="U24" s="24"/>
      <c r="V24" s="4"/>
      <c r="W24" s="4"/>
      <c r="X24" s="42" t="s">
        <v>3</v>
      </c>
      <c r="Y24" s="5" t="s">
        <v>3</v>
      </c>
      <c r="Z24" s="5" t="s">
        <v>3</v>
      </c>
      <c r="AA24" s="5" t="s">
        <v>3</v>
      </c>
      <c r="AB24" s="16" t="s">
        <v>3</v>
      </c>
    </row>
    <row r="25" spans="2:28" x14ac:dyDescent="0.25">
      <c r="B25" s="7" t="s">
        <v>2713</v>
      </c>
      <c r="C25" s="1" t="s">
        <v>2713</v>
      </c>
      <c r="D25" s="8" t="s">
        <v>2713</v>
      </c>
      <c r="E25" s="1" t="s">
        <v>2713</v>
      </c>
      <c r="F25" s="15" t="s">
        <v>2713</v>
      </c>
      <c r="G25" s="1" t="s">
        <v>2713</v>
      </c>
      <c r="H25" s="15" t="s">
        <v>2713</v>
      </c>
      <c r="I25" s="1" t="s">
        <v>2713</v>
      </c>
      <c r="J25" s="1" t="s">
        <v>2713</v>
      </c>
      <c r="K25" s="1" t="s">
        <v>2713</v>
      </c>
      <c r="L25" s="1" t="s">
        <v>2713</v>
      </c>
      <c r="M25" s="1" t="s">
        <v>2713</v>
      </c>
      <c r="N25" s="1" t="s">
        <v>2713</v>
      </c>
      <c r="O25" s="1" t="s">
        <v>2713</v>
      </c>
      <c r="P25" s="1" t="s">
        <v>2713</v>
      </c>
      <c r="Q25" s="1" t="s">
        <v>2713</v>
      </c>
      <c r="R25" s="1" t="s">
        <v>2713</v>
      </c>
      <c r="S25" s="1" t="s">
        <v>2713</v>
      </c>
      <c r="T25" s="1" t="s">
        <v>2713</v>
      </c>
      <c r="U25" s="1" t="s">
        <v>2713</v>
      </c>
      <c r="V25" s="1" t="s">
        <v>2713</v>
      </c>
      <c r="W25" s="1" t="s">
        <v>2713</v>
      </c>
      <c r="X25" s="1" t="s">
        <v>2713</v>
      </c>
      <c r="Y25" s="1" t="s">
        <v>2713</v>
      </c>
      <c r="Z25" s="1" t="s">
        <v>2713</v>
      </c>
      <c r="AA25" s="1" t="s">
        <v>2713</v>
      </c>
      <c r="AB25" s="1" t="s">
        <v>2713</v>
      </c>
    </row>
    <row r="26" spans="2:28" ht="27.6" x14ac:dyDescent="0.25">
      <c r="B26" s="21" t="s">
        <v>2453</v>
      </c>
      <c r="C26" s="19" t="s">
        <v>810</v>
      </c>
      <c r="D26" s="17"/>
      <c r="E26" s="2"/>
      <c r="F26" s="27"/>
      <c r="G26" s="2"/>
      <c r="H26" s="27"/>
      <c r="I26" s="2"/>
      <c r="J26" s="3">
        <f>SUM('GMIC_2020-Annu_SCDPT5'!SCDPT5_31BEGIN_8:'GMIC_2020-Annu_SCDPT5'!SCDPT5_31ENDIN_8)</f>
        <v>0</v>
      </c>
      <c r="K26" s="3">
        <f>SUM('GMIC_2020-Annu_SCDPT5'!SCDPT5_31BEGIN_9:'GMIC_2020-Annu_SCDPT5'!SCDPT5_31ENDIN_9)</f>
        <v>0</v>
      </c>
      <c r="L26" s="3">
        <f>SUM('GMIC_2020-Annu_SCDPT5'!SCDPT5_31BEGIN_10:'GMIC_2020-Annu_SCDPT5'!SCDPT5_31ENDIN_10)</f>
        <v>0</v>
      </c>
      <c r="M26" s="3">
        <f>SUM('GMIC_2020-Annu_SCDPT5'!SCDPT5_31BEGIN_11:'GMIC_2020-Annu_SCDPT5'!SCDPT5_31ENDIN_11)</f>
        <v>0</v>
      </c>
      <c r="N26" s="3">
        <f>SUM('GMIC_2020-Annu_SCDPT5'!SCDPT5_31BEGIN_12:'GMIC_2020-Annu_SCDPT5'!SCDPT5_31ENDIN_12)</f>
        <v>0</v>
      </c>
      <c r="O26" s="3">
        <f>SUM('GMIC_2020-Annu_SCDPT5'!SCDPT5_31BEGIN_13:'GMIC_2020-Annu_SCDPT5'!SCDPT5_31ENDIN_13)</f>
        <v>0</v>
      </c>
      <c r="P26" s="3">
        <f>SUM('GMIC_2020-Annu_SCDPT5'!SCDPT5_31BEGIN_14:'GMIC_2020-Annu_SCDPT5'!SCDPT5_31ENDIN_14)</f>
        <v>0</v>
      </c>
      <c r="Q26" s="3">
        <f>SUM('GMIC_2020-Annu_SCDPT5'!SCDPT5_31BEGIN_15:'GMIC_2020-Annu_SCDPT5'!SCDPT5_31ENDIN_15)</f>
        <v>0</v>
      </c>
      <c r="R26" s="3">
        <f>SUM('GMIC_2020-Annu_SCDPT5'!SCDPT5_31BEGIN_16:'GMIC_2020-Annu_SCDPT5'!SCDPT5_31ENDIN_16)</f>
        <v>0</v>
      </c>
      <c r="S26" s="3">
        <f>SUM('GMIC_2020-Annu_SCDPT5'!SCDPT5_31BEGIN_17:'GMIC_2020-Annu_SCDPT5'!SCDPT5_31ENDIN_17)</f>
        <v>0</v>
      </c>
      <c r="T26" s="3">
        <f>SUM('GMIC_2020-Annu_SCDPT5'!SCDPT5_31BEGIN_18:'GMIC_2020-Annu_SCDPT5'!SCDPT5_31ENDIN_18)</f>
        <v>0</v>
      </c>
      <c r="U26" s="3">
        <f>SUM('GMIC_2020-Annu_SCDPT5'!SCDPT5_31BEGIN_19:'GMIC_2020-Annu_SCDPT5'!SCDPT5_31ENDIN_19)</f>
        <v>0</v>
      </c>
      <c r="V26" s="3">
        <f>SUM('GMIC_2020-Annu_SCDPT5'!SCDPT5_31BEGIN_20:'GMIC_2020-Annu_SCDPT5'!SCDPT5_31ENDIN_20)</f>
        <v>0</v>
      </c>
      <c r="W26" s="3">
        <f>SUM('GMIC_2020-Annu_SCDPT5'!SCDPT5_31BEGIN_21:'GMIC_2020-Annu_SCDPT5'!SCDPT5_31ENDIN_21)</f>
        <v>0</v>
      </c>
      <c r="X26" s="2"/>
      <c r="Y26" s="2"/>
      <c r="Z26" s="2"/>
      <c r="AA26" s="2"/>
      <c r="AB26" s="2"/>
    </row>
    <row r="27" spans="2:28" x14ac:dyDescent="0.25">
      <c r="B27" s="7" t="s">
        <v>2713</v>
      </c>
      <c r="C27" s="1" t="s">
        <v>2713</v>
      </c>
      <c r="D27" s="8" t="s">
        <v>2713</v>
      </c>
      <c r="E27" s="1" t="s">
        <v>2713</v>
      </c>
      <c r="F27" s="15" t="s">
        <v>2713</v>
      </c>
      <c r="G27" s="1" t="s">
        <v>2713</v>
      </c>
      <c r="H27" s="15" t="s">
        <v>2713</v>
      </c>
      <c r="I27" s="1" t="s">
        <v>2713</v>
      </c>
      <c r="J27" s="1" t="s">
        <v>2713</v>
      </c>
      <c r="K27" s="1" t="s">
        <v>2713</v>
      </c>
      <c r="L27" s="1" t="s">
        <v>2713</v>
      </c>
      <c r="M27" s="1" t="s">
        <v>2713</v>
      </c>
      <c r="N27" s="1" t="s">
        <v>2713</v>
      </c>
      <c r="O27" s="1" t="s">
        <v>2713</v>
      </c>
      <c r="P27" s="1" t="s">
        <v>2713</v>
      </c>
      <c r="Q27" s="1" t="s">
        <v>2713</v>
      </c>
      <c r="R27" s="1" t="s">
        <v>2713</v>
      </c>
      <c r="S27" s="1" t="s">
        <v>2713</v>
      </c>
      <c r="T27" s="1" t="s">
        <v>2713</v>
      </c>
      <c r="U27" s="1" t="s">
        <v>2713</v>
      </c>
      <c r="V27" s="1" t="s">
        <v>2713</v>
      </c>
      <c r="W27" s="1" t="s">
        <v>2713</v>
      </c>
      <c r="X27" s="1" t="s">
        <v>2713</v>
      </c>
      <c r="Y27" s="1" t="s">
        <v>2713</v>
      </c>
      <c r="Z27" s="1" t="s">
        <v>2713</v>
      </c>
      <c r="AA27" s="1" t="s">
        <v>2713</v>
      </c>
      <c r="AB27" s="1" t="s">
        <v>2713</v>
      </c>
    </row>
    <row r="28" spans="2:28" x14ac:dyDescent="0.25">
      <c r="B28" s="18" t="s">
        <v>1301</v>
      </c>
      <c r="C28" s="44" t="s">
        <v>3303</v>
      </c>
      <c r="D28" s="20" t="s">
        <v>4190</v>
      </c>
      <c r="E28" s="22" t="s">
        <v>3</v>
      </c>
      <c r="F28" s="11">
        <v>43837</v>
      </c>
      <c r="G28" s="5" t="s">
        <v>191</v>
      </c>
      <c r="H28" s="11">
        <v>44097</v>
      </c>
      <c r="I28" s="5" t="s">
        <v>999</v>
      </c>
      <c r="J28" s="4">
        <v>5000000</v>
      </c>
      <c r="K28" s="4">
        <v>4948150</v>
      </c>
      <c r="L28" s="4">
        <v>4917500</v>
      </c>
      <c r="M28" s="4">
        <v>4954967</v>
      </c>
      <c r="N28" s="4">
        <v>0</v>
      </c>
      <c r="O28" s="4">
        <v>6817</v>
      </c>
      <c r="P28" s="4">
        <v>0</v>
      </c>
      <c r="Q28" s="3">
        <f>'GMIC_2020-Annu_SCDPT5'!SCDPT5_3800001_12+'GMIC_2020-Annu_SCDPT5'!SCDPT5_3800001_13-'GMIC_2020-Annu_SCDPT5'!SCDPT5_3800001_14</f>
        <v>6817</v>
      </c>
      <c r="R28" s="4">
        <v>0</v>
      </c>
      <c r="S28" s="4">
        <v>0</v>
      </c>
      <c r="T28" s="4">
        <v>-37467</v>
      </c>
      <c r="U28" s="3">
        <f>'GMIC_2020-Annu_SCDPT5'!SCDPT5_3800001_17+'GMIC_2020-Annu_SCDPT5'!SCDPT5_3800001_18</f>
        <v>-37467</v>
      </c>
      <c r="V28" s="4">
        <v>80181</v>
      </c>
      <c r="W28" s="4">
        <v>0</v>
      </c>
      <c r="X28" s="2"/>
      <c r="Y28" s="5" t="s">
        <v>3</v>
      </c>
      <c r="Z28" s="5" t="s">
        <v>1598</v>
      </c>
      <c r="AA28" s="5" t="s">
        <v>3</v>
      </c>
      <c r="AB28" s="16" t="s">
        <v>3</v>
      </c>
    </row>
    <row r="29" spans="2:28" x14ac:dyDescent="0.25">
      <c r="B29" s="18" t="s">
        <v>2384</v>
      </c>
      <c r="C29" s="44" t="s">
        <v>1617</v>
      </c>
      <c r="D29" s="20" t="s">
        <v>3304</v>
      </c>
      <c r="E29" s="51" t="s">
        <v>3</v>
      </c>
      <c r="F29" s="11">
        <v>43903</v>
      </c>
      <c r="G29" s="5" t="s">
        <v>1104</v>
      </c>
      <c r="H29" s="11">
        <v>43958</v>
      </c>
      <c r="I29" s="5" t="s">
        <v>1958</v>
      </c>
      <c r="J29" s="4">
        <v>2570000</v>
      </c>
      <c r="K29" s="4">
        <v>2592575</v>
      </c>
      <c r="L29" s="4">
        <v>2647100</v>
      </c>
      <c r="M29" s="4">
        <v>2588915</v>
      </c>
      <c r="N29" s="4">
        <v>0</v>
      </c>
      <c r="O29" s="4">
        <v>-3660</v>
      </c>
      <c r="P29" s="4">
        <v>0</v>
      </c>
      <c r="Q29" s="24">
        <v>-3660</v>
      </c>
      <c r="R29" s="4">
        <v>0</v>
      </c>
      <c r="S29" s="4">
        <v>0</v>
      </c>
      <c r="T29" s="4">
        <v>58185</v>
      </c>
      <c r="U29" s="24">
        <v>58185</v>
      </c>
      <c r="V29" s="4">
        <v>77871</v>
      </c>
      <c r="W29" s="4">
        <v>58409</v>
      </c>
      <c r="X29" s="2"/>
      <c r="Y29" s="5" t="s">
        <v>3833</v>
      </c>
      <c r="Z29" s="5" t="s">
        <v>1145</v>
      </c>
      <c r="AA29" s="5" t="s">
        <v>3</v>
      </c>
      <c r="AB29" s="16" t="s">
        <v>3</v>
      </c>
    </row>
    <row r="30" spans="2:28" x14ac:dyDescent="0.25">
      <c r="B30" s="18" t="s">
        <v>3485</v>
      </c>
      <c r="C30" s="44" t="s">
        <v>3524</v>
      </c>
      <c r="D30" s="20" t="s">
        <v>4230</v>
      </c>
      <c r="E30" s="51" t="s">
        <v>3</v>
      </c>
      <c r="F30" s="11">
        <v>43895</v>
      </c>
      <c r="G30" s="5" t="s">
        <v>2994</v>
      </c>
      <c r="H30" s="11">
        <v>44154</v>
      </c>
      <c r="I30" s="5" t="s">
        <v>1337</v>
      </c>
      <c r="J30" s="4">
        <v>4000000</v>
      </c>
      <c r="K30" s="4">
        <v>4090800</v>
      </c>
      <c r="L30" s="4">
        <v>4050000</v>
      </c>
      <c r="M30" s="4">
        <v>4050000</v>
      </c>
      <c r="N30" s="4">
        <v>0</v>
      </c>
      <c r="O30" s="4">
        <v>-90800</v>
      </c>
      <c r="P30" s="4">
        <v>0</v>
      </c>
      <c r="Q30" s="24">
        <v>-90800</v>
      </c>
      <c r="R30" s="4">
        <v>0</v>
      </c>
      <c r="S30" s="4">
        <v>0</v>
      </c>
      <c r="T30" s="4">
        <v>0</v>
      </c>
      <c r="U30" s="24">
        <v>0</v>
      </c>
      <c r="V30" s="4">
        <v>276667</v>
      </c>
      <c r="W30" s="4">
        <v>87778</v>
      </c>
      <c r="X30" s="2"/>
      <c r="Y30" s="5" t="s">
        <v>2734</v>
      </c>
      <c r="Z30" s="5" t="s">
        <v>2008</v>
      </c>
      <c r="AA30" s="5" t="s">
        <v>928</v>
      </c>
      <c r="AB30" s="16" t="s">
        <v>3</v>
      </c>
    </row>
    <row r="31" spans="2:28" x14ac:dyDescent="0.25">
      <c r="B31" s="18" t="s">
        <v>478</v>
      </c>
      <c r="C31" s="44" t="s">
        <v>743</v>
      </c>
      <c r="D31" s="20" t="s">
        <v>2139</v>
      </c>
      <c r="E31" s="51" t="s">
        <v>3</v>
      </c>
      <c r="F31" s="11">
        <v>44042</v>
      </c>
      <c r="G31" s="5" t="s">
        <v>1104</v>
      </c>
      <c r="H31" s="11">
        <v>44134</v>
      </c>
      <c r="I31" s="5" t="s">
        <v>2686</v>
      </c>
      <c r="J31" s="4">
        <v>18750</v>
      </c>
      <c r="K31" s="4">
        <v>18927</v>
      </c>
      <c r="L31" s="4">
        <v>18750</v>
      </c>
      <c r="M31" s="4">
        <v>18750</v>
      </c>
      <c r="N31" s="4">
        <v>0</v>
      </c>
      <c r="O31" s="4">
        <v>-177</v>
      </c>
      <c r="P31" s="4">
        <v>0</v>
      </c>
      <c r="Q31" s="24">
        <v>-177</v>
      </c>
      <c r="R31" s="4">
        <v>0</v>
      </c>
      <c r="S31" s="4">
        <v>0</v>
      </c>
      <c r="T31" s="4">
        <v>0</v>
      </c>
      <c r="U31" s="24">
        <v>0</v>
      </c>
      <c r="V31" s="4">
        <v>152</v>
      </c>
      <c r="W31" s="4">
        <v>1</v>
      </c>
      <c r="X31" s="2"/>
      <c r="Y31" s="5" t="s">
        <v>3</v>
      </c>
      <c r="Z31" s="5" t="s">
        <v>2330</v>
      </c>
      <c r="AA31" s="5" t="s">
        <v>928</v>
      </c>
      <c r="AB31" s="16" t="s">
        <v>3</v>
      </c>
    </row>
    <row r="32" spans="2:28" x14ac:dyDescent="0.25">
      <c r="B32" s="18" t="s">
        <v>1551</v>
      </c>
      <c r="C32" s="44" t="s">
        <v>145</v>
      </c>
      <c r="D32" s="20" t="s">
        <v>4043</v>
      </c>
      <c r="E32" s="51" t="s">
        <v>3</v>
      </c>
      <c r="F32" s="11">
        <v>44105</v>
      </c>
      <c r="G32" s="5" t="s">
        <v>3262</v>
      </c>
      <c r="H32" s="11">
        <v>44193</v>
      </c>
      <c r="I32" s="5" t="s">
        <v>2686</v>
      </c>
      <c r="J32" s="4">
        <v>329538.15999999997</v>
      </c>
      <c r="K32" s="4">
        <v>329508</v>
      </c>
      <c r="L32" s="4">
        <v>329538</v>
      </c>
      <c r="M32" s="4">
        <v>329538</v>
      </c>
      <c r="N32" s="4">
        <v>0</v>
      </c>
      <c r="O32" s="4">
        <v>31</v>
      </c>
      <c r="P32" s="4">
        <v>0</v>
      </c>
      <c r="Q32" s="24">
        <v>31</v>
      </c>
      <c r="R32" s="4">
        <v>0</v>
      </c>
      <c r="S32" s="4">
        <v>0</v>
      </c>
      <c r="T32" s="4">
        <v>0</v>
      </c>
      <c r="U32" s="24">
        <v>0</v>
      </c>
      <c r="V32" s="4">
        <v>724</v>
      </c>
      <c r="W32" s="4">
        <v>0</v>
      </c>
      <c r="X32" s="2"/>
      <c r="Y32" s="5" t="s">
        <v>3</v>
      </c>
      <c r="Z32" s="5" t="s">
        <v>1850</v>
      </c>
      <c r="AA32" s="5" t="s">
        <v>2042</v>
      </c>
      <c r="AB32" s="16" t="s">
        <v>3</v>
      </c>
    </row>
    <row r="33" spans="2:28" x14ac:dyDescent="0.25">
      <c r="B33" s="18" t="s">
        <v>2640</v>
      </c>
      <c r="C33" s="44" t="s">
        <v>4354</v>
      </c>
      <c r="D33" s="20" t="s">
        <v>4353</v>
      </c>
      <c r="E33" s="51" t="s">
        <v>3</v>
      </c>
      <c r="F33" s="11">
        <v>44105</v>
      </c>
      <c r="G33" s="5" t="s">
        <v>3262</v>
      </c>
      <c r="H33" s="11">
        <v>44193</v>
      </c>
      <c r="I33" s="5" t="s">
        <v>2686</v>
      </c>
      <c r="J33" s="4">
        <v>136387.98000000001</v>
      </c>
      <c r="K33" s="4">
        <v>136367</v>
      </c>
      <c r="L33" s="4">
        <v>136388</v>
      </c>
      <c r="M33" s="4">
        <v>136388</v>
      </c>
      <c r="N33" s="4">
        <v>0</v>
      </c>
      <c r="O33" s="4">
        <v>21</v>
      </c>
      <c r="P33" s="4">
        <v>0</v>
      </c>
      <c r="Q33" s="24">
        <v>21</v>
      </c>
      <c r="R33" s="4">
        <v>0</v>
      </c>
      <c r="S33" s="4">
        <v>0</v>
      </c>
      <c r="T33" s="4">
        <v>0</v>
      </c>
      <c r="U33" s="24">
        <v>0</v>
      </c>
      <c r="V33" s="4">
        <v>482</v>
      </c>
      <c r="W33" s="4">
        <v>0</v>
      </c>
      <c r="X33" s="2"/>
      <c r="Y33" s="5" t="s">
        <v>3</v>
      </c>
      <c r="Z33" s="5" t="s">
        <v>1850</v>
      </c>
      <c r="AA33" s="5" t="s">
        <v>928</v>
      </c>
      <c r="AB33" s="16" t="s">
        <v>3</v>
      </c>
    </row>
    <row r="34" spans="2:28" x14ac:dyDescent="0.25">
      <c r="B34" s="18" t="s">
        <v>3756</v>
      </c>
      <c r="C34" s="44" t="s">
        <v>3060</v>
      </c>
      <c r="D34" s="20" t="s">
        <v>1146</v>
      </c>
      <c r="E34" s="51" t="s">
        <v>3</v>
      </c>
      <c r="F34" s="11">
        <v>43914</v>
      </c>
      <c r="G34" s="5" t="s">
        <v>2994</v>
      </c>
      <c r="H34" s="11">
        <v>44144</v>
      </c>
      <c r="I34" s="5" t="s">
        <v>2427</v>
      </c>
      <c r="J34" s="4">
        <v>1500000</v>
      </c>
      <c r="K34" s="4">
        <v>1497840</v>
      </c>
      <c r="L34" s="4">
        <v>1707431</v>
      </c>
      <c r="M34" s="4">
        <v>1707431</v>
      </c>
      <c r="N34" s="4">
        <v>0</v>
      </c>
      <c r="O34" s="4">
        <v>2160.1999999999998</v>
      </c>
      <c r="P34" s="4">
        <v>0</v>
      </c>
      <c r="Q34" s="24">
        <v>2160.1999999999998</v>
      </c>
      <c r="R34" s="4">
        <v>0</v>
      </c>
      <c r="S34" s="4">
        <v>0</v>
      </c>
      <c r="T34" s="4">
        <v>0</v>
      </c>
      <c r="U34" s="24">
        <v>0</v>
      </c>
      <c r="V34" s="4">
        <v>242118.8</v>
      </c>
      <c r="W34" s="4">
        <v>0</v>
      </c>
      <c r="X34" s="2"/>
      <c r="Y34" s="5" t="s">
        <v>936</v>
      </c>
      <c r="Z34" s="5" t="s">
        <v>578</v>
      </c>
      <c r="AA34" s="5" t="s">
        <v>928</v>
      </c>
      <c r="AB34" s="16" t="s">
        <v>3</v>
      </c>
    </row>
    <row r="35" spans="2:28" x14ac:dyDescent="0.25">
      <c r="B35" s="18" t="s">
        <v>479</v>
      </c>
      <c r="C35" s="44" t="s">
        <v>3834</v>
      </c>
      <c r="D35" s="20" t="s">
        <v>4418</v>
      </c>
      <c r="E35" s="51" t="s">
        <v>3</v>
      </c>
      <c r="F35" s="11">
        <v>43972</v>
      </c>
      <c r="G35" s="5" t="s">
        <v>2195</v>
      </c>
      <c r="H35" s="11">
        <v>44054</v>
      </c>
      <c r="I35" s="5" t="s">
        <v>4396</v>
      </c>
      <c r="J35" s="4">
        <v>3186000</v>
      </c>
      <c r="K35" s="4">
        <v>3370520</v>
      </c>
      <c r="L35" s="4">
        <v>3365973</v>
      </c>
      <c r="M35" s="4">
        <v>3365973</v>
      </c>
      <c r="N35" s="4">
        <v>0</v>
      </c>
      <c r="O35" s="4">
        <v>-4548</v>
      </c>
      <c r="P35" s="4">
        <v>0</v>
      </c>
      <c r="Q35" s="24">
        <v>-4548</v>
      </c>
      <c r="R35" s="4">
        <v>0</v>
      </c>
      <c r="S35" s="4">
        <v>0</v>
      </c>
      <c r="T35" s="4">
        <v>0</v>
      </c>
      <c r="U35" s="24">
        <v>0</v>
      </c>
      <c r="V35" s="4">
        <v>0</v>
      </c>
      <c r="W35" s="4">
        <v>0</v>
      </c>
      <c r="X35" s="2"/>
      <c r="Y35" s="5" t="s">
        <v>1373</v>
      </c>
      <c r="Z35" s="5" t="s">
        <v>2251</v>
      </c>
      <c r="AA35" s="5" t="s">
        <v>928</v>
      </c>
      <c r="AB35" s="16" t="s">
        <v>3</v>
      </c>
    </row>
    <row r="36" spans="2:28" x14ac:dyDescent="0.25">
      <c r="B36" s="18" t="s">
        <v>1553</v>
      </c>
      <c r="C36" s="44" t="s">
        <v>1338</v>
      </c>
      <c r="D36" s="20" t="s">
        <v>46</v>
      </c>
      <c r="E36" s="51" t="s">
        <v>3</v>
      </c>
      <c r="F36" s="11">
        <v>44053</v>
      </c>
      <c r="G36" s="5" t="s">
        <v>2994</v>
      </c>
      <c r="H36" s="11">
        <v>44089</v>
      </c>
      <c r="I36" s="5" t="s">
        <v>2994</v>
      </c>
      <c r="J36" s="4">
        <v>7000000</v>
      </c>
      <c r="K36" s="4">
        <v>6999650</v>
      </c>
      <c r="L36" s="4">
        <v>7042630</v>
      </c>
      <c r="M36" s="4">
        <v>6999656</v>
      </c>
      <c r="N36" s="4">
        <v>0</v>
      </c>
      <c r="O36" s="4">
        <v>6</v>
      </c>
      <c r="P36" s="4">
        <v>0</v>
      </c>
      <c r="Q36" s="24">
        <v>6</v>
      </c>
      <c r="R36" s="4">
        <v>0</v>
      </c>
      <c r="S36" s="4">
        <v>0</v>
      </c>
      <c r="T36" s="4">
        <v>42974</v>
      </c>
      <c r="U36" s="24">
        <v>42974</v>
      </c>
      <c r="V36" s="4">
        <v>9508</v>
      </c>
      <c r="W36" s="4">
        <v>0</v>
      </c>
      <c r="X36" s="2"/>
      <c r="Y36" s="5" t="s">
        <v>47</v>
      </c>
      <c r="Z36" s="5" t="s">
        <v>3881</v>
      </c>
      <c r="AA36" s="5" t="s">
        <v>2018</v>
      </c>
      <c r="AB36" s="16" t="s">
        <v>3</v>
      </c>
    </row>
    <row r="37" spans="2:28" x14ac:dyDescent="0.25">
      <c r="B37" s="18" t="s">
        <v>3486</v>
      </c>
      <c r="C37" s="44" t="s">
        <v>3223</v>
      </c>
      <c r="D37" s="20" t="s">
        <v>4356</v>
      </c>
      <c r="E37" s="51" t="s">
        <v>3</v>
      </c>
      <c r="F37" s="11">
        <v>44070</v>
      </c>
      <c r="G37" s="5" t="s">
        <v>191</v>
      </c>
      <c r="H37" s="11">
        <v>44183</v>
      </c>
      <c r="I37" s="5" t="s">
        <v>2686</v>
      </c>
      <c r="J37" s="4">
        <v>349999.98</v>
      </c>
      <c r="K37" s="4">
        <v>349839</v>
      </c>
      <c r="L37" s="4">
        <v>350000</v>
      </c>
      <c r="M37" s="4">
        <v>350000</v>
      </c>
      <c r="N37" s="4">
        <v>0</v>
      </c>
      <c r="O37" s="4">
        <v>161</v>
      </c>
      <c r="P37" s="4">
        <v>0</v>
      </c>
      <c r="Q37" s="24">
        <v>161</v>
      </c>
      <c r="R37" s="4">
        <v>0</v>
      </c>
      <c r="S37" s="4">
        <v>0</v>
      </c>
      <c r="T37" s="4">
        <v>0</v>
      </c>
      <c r="U37" s="24">
        <v>0</v>
      </c>
      <c r="V37" s="4">
        <v>1089</v>
      </c>
      <c r="W37" s="4">
        <v>0</v>
      </c>
      <c r="X37" s="2"/>
      <c r="Y37" s="5" t="s">
        <v>3</v>
      </c>
      <c r="Z37" s="5" t="s">
        <v>746</v>
      </c>
      <c r="AA37" s="5" t="s">
        <v>928</v>
      </c>
      <c r="AB37" s="16" t="s">
        <v>3</v>
      </c>
    </row>
    <row r="38" spans="2:28" x14ac:dyDescent="0.25">
      <c r="B38" s="18" t="s">
        <v>195</v>
      </c>
      <c r="C38" s="44" t="s">
        <v>4357</v>
      </c>
      <c r="D38" s="20" t="s">
        <v>1489</v>
      </c>
      <c r="E38" s="51" t="s">
        <v>3</v>
      </c>
      <c r="F38" s="11">
        <v>44106</v>
      </c>
      <c r="G38" s="5" t="s">
        <v>480</v>
      </c>
      <c r="H38" s="11">
        <v>44183</v>
      </c>
      <c r="I38" s="5" t="s">
        <v>2686</v>
      </c>
      <c r="J38" s="4">
        <v>275000</v>
      </c>
      <c r="K38" s="4">
        <v>274943</v>
      </c>
      <c r="L38" s="4">
        <v>275000</v>
      </c>
      <c r="M38" s="4">
        <v>275000</v>
      </c>
      <c r="N38" s="4">
        <v>0</v>
      </c>
      <c r="O38" s="4">
        <v>57</v>
      </c>
      <c r="P38" s="4">
        <v>0</v>
      </c>
      <c r="Q38" s="24">
        <v>57</v>
      </c>
      <c r="R38" s="4">
        <v>0</v>
      </c>
      <c r="S38" s="4">
        <v>0</v>
      </c>
      <c r="T38" s="4">
        <v>0</v>
      </c>
      <c r="U38" s="24">
        <v>0</v>
      </c>
      <c r="V38" s="4">
        <v>647</v>
      </c>
      <c r="W38" s="4">
        <v>0</v>
      </c>
      <c r="X38" s="2"/>
      <c r="Y38" s="5" t="s">
        <v>3</v>
      </c>
      <c r="Z38" s="5" t="s">
        <v>1489</v>
      </c>
      <c r="AA38" s="5" t="s">
        <v>3</v>
      </c>
      <c r="AB38" s="16" t="s">
        <v>3</v>
      </c>
    </row>
    <row r="39" spans="2:28" x14ac:dyDescent="0.25">
      <c r="B39" s="18" t="s">
        <v>1554</v>
      </c>
      <c r="C39" s="44" t="s">
        <v>1339</v>
      </c>
      <c r="D39" s="20" t="s">
        <v>880</v>
      </c>
      <c r="E39" s="51" t="s">
        <v>3</v>
      </c>
      <c r="F39" s="11">
        <v>43873</v>
      </c>
      <c r="G39" s="5" t="s">
        <v>2994</v>
      </c>
      <c r="H39" s="11">
        <v>43992</v>
      </c>
      <c r="I39" s="5" t="s">
        <v>1958</v>
      </c>
      <c r="J39" s="4">
        <v>9500000</v>
      </c>
      <c r="K39" s="4">
        <v>9539900</v>
      </c>
      <c r="L39" s="4">
        <v>9478720</v>
      </c>
      <c r="M39" s="4">
        <v>9598522</v>
      </c>
      <c r="N39" s="4">
        <v>0</v>
      </c>
      <c r="O39" s="4">
        <v>58622</v>
      </c>
      <c r="P39" s="4">
        <v>0</v>
      </c>
      <c r="Q39" s="24">
        <v>58622</v>
      </c>
      <c r="R39" s="4">
        <v>0</v>
      </c>
      <c r="S39" s="4">
        <v>0</v>
      </c>
      <c r="T39" s="4">
        <v>-119802</v>
      </c>
      <c r="U39" s="24">
        <v>-119802</v>
      </c>
      <c r="V39" s="4">
        <v>79420</v>
      </c>
      <c r="W39" s="4">
        <v>12033</v>
      </c>
      <c r="X39" s="2"/>
      <c r="Y39" s="5" t="s">
        <v>3</v>
      </c>
      <c r="Z39" s="5" t="s">
        <v>4191</v>
      </c>
      <c r="AA39" s="5" t="s">
        <v>3</v>
      </c>
      <c r="AB39" s="16" t="s">
        <v>3</v>
      </c>
    </row>
    <row r="40" spans="2:28" x14ac:dyDescent="0.25">
      <c r="B40" s="18" t="s">
        <v>2641</v>
      </c>
      <c r="C40" s="44" t="s">
        <v>2209</v>
      </c>
      <c r="D40" s="20" t="s">
        <v>3835</v>
      </c>
      <c r="E40" s="51" t="s">
        <v>3</v>
      </c>
      <c r="F40" s="11">
        <v>43985</v>
      </c>
      <c r="G40" s="5" t="s">
        <v>1104</v>
      </c>
      <c r="H40" s="11">
        <v>44175</v>
      </c>
      <c r="I40" s="5" t="s">
        <v>4396</v>
      </c>
      <c r="J40" s="4">
        <v>9500000</v>
      </c>
      <c r="K40" s="4">
        <v>9395700</v>
      </c>
      <c r="L40" s="4">
        <v>9403116</v>
      </c>
      <c r="M40" s="4">
        <v>9403116</v>
      </c>
      <c r="N40" s="4">
        <v>0</v>
      </c>
      <c r="O40" s="4">
        <v>7416</v>
      </c>
      <c r="P40" s="4">
        <v>0</v>
      </c>
      <c r="Q40" s="24">
        <v>7416</v>
      </c>
      <c r="R40" s="4">
        <v>0</v>
      </c>
      <c r="S40" s="4">
        <v>0</v>
      </c>
      <c r="T40" s="4">
        <v>0</v>
      </c>
      <c r="U40" s="24">
        <v>0</v>
      </c>
      <c r="V40" s="4">
        <v>110523</v>
      </c>
      <c r="W40" s="4">
        <v>33933</v>
      </c>
      <c r="X40" s="2"/>
      <c r="Y40" s="5" t="s">
        <v>3</v>
      </c>
      <c r="Z40" s="5" t="s">
        <v>3109</v>
      </c>
      <c r="AA40" s="5" t="s">
        <v>928</v>
      </c>
      <c r="AB40" s="16" t="s">
        <v>3</v>
      </c>
    </row>
    <row r="41" spans="2:28" x14ac:dyDescent="0.25">
      <c r="B41" s="18" t="s">
        <v>3757</v>
      </c>
      <c r="C41" s="44" t="s">
        <v>1340</v>
      </c>
      <c r="D41" s="20" t="s">
        <v>857</v>
      </c>
      <c r="E41" s="51" t="s">
        <v>3</v>
      </c>
      <c r="F41" s="11">
        <v>43889</v>
      </c>
      <c r="G41" s="5" t="s">
        <v>1105</v>
      </c>
      <c r="H41" s="11">
        <v>44113</v>
      </c>
      <c r="I41" s="5" t="s">
        <v>2428</v>
      </c>
      <c r="J41" s="4">
        <v>3000000</v>
      </c>
      <c r="K41" s="4">
        <v>3107490</v>
      </c>
      <c r="L41" s="4">
        <v>3118140</v>
      </c>
      <c r="M41" s="4">
        <v>3118140</v>
      </c>
      <c r="N41" s="4">
        <v>0</v>
      </c>
      <c r="O41" s="4">
        <v>-87800</v>
      </c>
      <c r="P41" s="4">
        <v>0</v>
      </c>
      <c r="Q41" s="24">
        <v>-87800</v>
      </c>
      <c r="R41" s="4">
        <v>0</v>
      </c>
      <c r="S41" s="4">
        <v>0</v>
      </c>
      <c r="T41" s="4">
        <v>0</v>
      </c>
      <c r="U41" s="24">
        <v>0</v>
      </c>
      <c r="V41" s="4">
        <v>259450</v>
      </c>
      <c r="W41" s="4">
        <v>66500</v>
      </c>
      <c r="X41" s="2"/>
      <c r="Y41" s="5" t="s">
        <v>57</v>
      </c>
      <c r="Z41" s="5" t="s">
        <v>2772</v>
      </c>
      <c r="AA41" s="5" t="s">
        <v>928</v>
      </c>
      <c r="AB41" s="16" t="s">
        <v>3</v>
      </c>
    </row>
    <row r="42" spans="2:28" x14ac:dyDescent="0.25">
      <c r="B42" s="18" t="s">
        <v>481</v>
      </c>
      <c r="C42" s="44" t="s">
        <v>1340</v>
      </c>
      <c r="D42" s="20" t="s">
        <v>857</v>
      </c>
      <c r="E42" s="51" t="s">
        <v>3</v>
      </c>
      <c r="F42" s="11">
        <v>43854</v>
      </c>
      <c r="G42" s="5" t="s">
        <v>4396</v>
      </c>
      <c r="H42" s="11">
        <v>44113</v>
      </c>
      <c r="I42" s="5" t="s">
        <v>2428</v>
      </c>
      <c r="J42" s="4">
        <v>2000000</v>
      </c>
      <c r="K42" s="4">
        <v>2000000</v>
      </c>
      <c r="L42" s="4">
        <v>2078760</v>
      </c>
      <c r="M42" s="4">
        <v>2078760</v>
      </c>
      <c r="N42" s="4">
        <v>0</v>
      </c>
      <c r="O42" s="4">
        <v>-19690</v>
      </c>
      <c r="P42" s="4">
        <v>0</v>
      </c>
      <c r="Q42" s="24">
        <v>-19690</v>
      </c>
      <c r="R42" s="4">
        <v>0</v>
      </c>
      <c r="S42" s="4">
        <v>0</v>
      </c>
      <c r="T42" s="4">
        <v>0</v>
      </c>
      <c r="U42" s="24">
        <v>0</v>
      </c>
      <c r="V42" s="4">
        <v>205783</v>
      </c>
      <c r="W42" s="4">
        <v>0</v>
      </c>
      <c r="X42" s="2"/>
      <c r="Y42" s="5" t="s">
        <v>57</v>
      </c>
      <c r="Z42" s="5" t="s">
        <v>2772</v>
      </c>
      <c r="AA42" s="5" t="s">
        <v>928</v>
      </c>
      <c r="AB42" s="16" t="s">
        <v>3</v>
      </c>
    </row>
    <row r="43" spans="2:28" x14ac:dyDescent="0.25">
      <c r="B43" s="18" t="s">
        <v>1555</v>
      </c>
      <c r="C43" s="44" t="s">
        <v>3525</v>
      </c>
      <c r="D43" s="20" t="s">
        <v>857</v>
      </c>
      <c r="E43" s="51" t="s">
        <v>3</v>
      </c>
      <c r="F43" s="11">
        <v>43866</v>
      </c>
      <c r="G43" s="5" t="s">
        <v>4397</v>
      </c>
      <c r="H43" s="11">
        <v>43950</v>
      </c>
      <c r="I43" s="5" t="s">
        <v>191</v>
      </c>
      <c r="J43" s="4">
        <v>1000000</v>
      </c>
      <c r="K43" s="4">
        <v>1000000</v>
      </c>
      <c r="L43" s="4">
        <v>1011250</v>
      </c>
      <c r="M43" s="4">
        <v>1000000</v>
      </c>
      <c r="N43" s="4">
        <v>0</v>
      </c>
      <c r="O43" s="4">
        <v>0</v>
      </c>
      <c r="P43" s="4">
        <v>0</v>
      </c>
      <c r="Q43" s="24">
        <v>0</v>
      </c>
      <c r="R43" s="4">
        <v>0</v>
      </c>
      <c r="S43" s="4">
        <v>0</v>
      </c>
      <c r="T43" s="4">
        <v>11250</v>
      </c>
      <c r="U43" s="24">
        <v>11250</v>
      </c>
      <c r="V43" s="4">
        <v>7313</v>
      </c>
      <c r="W43" s="4">
        <v>0</v>
      </c>
      <c r="X43" s="2"/>
      <c r="Y43" s="5" t="s">
        <v>57</v>
      </c>
      <c r="Z43" s="5" t="s">
        <v>2772</v>
      </c>
      <c r="AA43" s="5" t="s">
        <v>928</v>
      </c>
      <c r="AB43" s="16" t="s">
        <v>3</v>
      </c>
    </row>
    <row r="44" spans="2:28" x14ac:dyDescent="0.25">
      <c r="B44" s="18" t="s">
        <v>2642</v>
      </c>
      <c r="C44" s="44" t="s">
        <v>1973</v>
      </c>
      <c r="D44" s="20" t="s">
        <v>3355</v>
      </c>
      <c r="E44" s="51" t="s">
        <v>3</v>
      </c>
      <c r="F44" s="11">
        <v>43991</v>
      </c>
      <c r="G44" s="5" t="s">
        <v>2994</v>
      </c>
      <c r="H44" s="11">
        <v>44092</v>
      </c>
      <c r="I44" s="5" t="s">
        <v>2994</v>
      </c>
      <c r="J44" s="4">
        <v>4000000</v>
      </c>
      <c r="K44" s="4">
        <v>3997680</v>
      </c>
      <c r="L44" s="4">
        <v>4061160</v>
      </c>
      <c r="M44" s="4">
        <v>3997797</v>
      </c>
      <c r="N44" s="4">
        <v>0</v>
      </c>
      <c r="O44" s="4">
        <v>117</v>
      </c>
      <c r="P44" s="4">
        <v>0</v>
      </c>
      <c r="Q44" s="24">
        <v>117</v>
      </c>
      <c r="R44" s="4">
        <v>0</v>
      </c>
      <c r="S44" s="4">
        <v>0</v>
      </c>
      <c r="T44" s="4">
        <v>63363</v>
      </c>
      <c r="U44" s="24">
        <v>63363</v>
      </c>
      <c r="V44" s="4">
        <v>14550</v>
      </c>
      <c r="W44" s="4">
        <v>0</v>
      </c>
      <c r="X44" s="2"/>
      <c r="Y44" s="5" t="s">
        <v>607</v>
      </c>
      <c r="Z44" s="5" t="s">
        <v>3355</v>
      </c>
      <c r="AA44" s="5" t="s">
        <v>3</v>
      </c>
      <c r="AB44" s="16" t="s">
        <v>3</v>
      </c>
    </row>
    <row r="45" spans="2:28" x14ac:dyDescent="0.25">
      <c r="B45" s="18" t="s">
        <v>3758</v>
      </c>
      <c r="C45" s="44" t="s">
        <v>1496</v>
      </c>
      <c r="D45" s="20" t="s">
        <v>1497</v>
      </c>
      <c r="E45" s="51" t="s">
        <v>3</v>
      </c>
      <c r="F45" s="11">
        <v>44011</v>
      </c>
      <c r="G45" s="5" t="s">
        <v>4397</v>
      </c>
      <c r="H45" s="11">
        <v>44124</v>
      </c>
      <c r="I45" s="5" t="s">
        <v>2686</v>
      </c>
      <c r="J45" s="4">
        <v>7125</v>
      </c>
      <c r="K45" s="4">
        <v>7170</v>
      </c>
      <c r="L45" s="4">
        <v>7125</v>
      </c>
      <c r="M45" s="4">
        <v>7125</v>
      </c>
      <c r="N45" s="4">
        <v>0</v>
      </c>
      <c r="O45" s="4">
        <v>-45</v>
      </c>
      <c r="P45" s="4">
        <v>0</v>
      </c>
      <c r="Q45" s="24">
        <v>-45</v>
      </c>
      <c r="R45" s="4">
        <v>0</v>
      </c>
      <c r="S45" s="4">
        <v>0</v>
      </c>
      <c r="T45" s="4">
        <v>0</v>
      </c>
      <c r="U45" s="24">
        <v>0</v>
      </c>
      <c r="V45" s="4">
        <v>78</v>
      </c>
      <c r="W45" s="4">
        <v>0</v>
      </c>
      <c r="X45" s="2"/>
      <c r="Y45" s="5" t="s">
        <v>3</v>
      </c>
      <c r="Z45" s="5" t="s">
        <v>2592</v>
      </c>
      <c r="AA45" s="5" t="s">
        <v>928</v>
      </c>
      <c r="AB45" s="16" t="s">
        <v>3</v>
      </c>
    </row>
    <row r="46" spans="2:28" x14ac:dyDescent="0.25">
      <c r="B46" s="18" t="s">
        <v>482</v>
      </c>
      <c r="C46" s="44" t="s">
        <v>881</v>
      </c>
      <c r="D46" s="20" t="s">
        <v>4364</v>
      </c>
      <c r="E46" s="51" t="s">
        <v>3</v>
      </c>
      <c r="F46" s="11">
        <v>43871</v>
      </c>
      <c r="G46" s="5" t="s">
        <v>2994</v>
      </c>
      <c r="H46" s="11">
        <v>43952</v>
      </c>
      <c r="I46" s="5" t="s">
        <v>4397</v>
      </c>
      <c r="J46" s="4">
        <v>4110000</v>
      </c>
      <c r="K46" s="4">
        <v>4109379</v>
      </c>
      <c r="L46" s="4">
        <v>3935325</v>
      </c>
      <c r="M46" s="4">
        <v>4109426</v>
      </c>
      <c r="N46" s="4">
        <v>0</v>
      </c>
      <c r="O46" s="4">
        <v>47</v>
      </c>
      <c r="P46" s="4">
        <v>0</v>
      </c>
      <c r="Q46" s="24">
        <v>47</v>
      </c>
      <c r="R46" s="4">
        <v>0</v>
      </c>
      <c r="S46" s="4">
        <v>0</v>
      </c>
      <c r="T46" s="4">
        <v>-174101</v>
      </c>
      <c r="U46" s="24">
        <v>-174101</v>
      </c>
      <c r="V46" s="4">
        <v>19783</v>
      </c>
      <c r="W46" s="4">
        <v>0</v>
      </c>
      <c r="X46" s="2"/>
      <c r="Y46" s="5" t="s">
        <v>3</v>
      </c>
      <c r="Z46" s="5" t="s">
        <v>2956</v>
      </c>
      <c r="AA46" s="5" t="s">
        <v>2956</v>
      </c>
      <c r="AB46" s="16" t="s">
        <v>3</v>
      </c>
    </row>
    <row r="47" spans="2:28" x14ac:dyDescent="0.25">
      <c r="B47" s="18" t="s">
        <v>2385</v>
      </c>
      <c r="C47" s="44" t="s">
        <v>1074</v>
      </c>
      <c r="D47" s="20" t="s">
        <v>4074</v>
      </c>
      <c r="E47" s="51" t="s">
        <v>3</v>
      </c>
      <c r="F47" s="11">
        <v>44078</v>
      </c>
      <c r="G47" s="5" t="s">
        <v>191</v>
      </c>
      <c r="H47" s="11">
        <v>44174</v>
      </c>
      <c r="I47" s="5" t="s">
        <v>2686</v>
      </c>
      <c r="J47" s="4">
        <v>496300.07</v>
      </c>
      <c r="K47" s="4">
        <v>496225</v>
      </c>
      <c r="L47" s="4">
        <v>496300</v>
      </c>
      <c r="M47" s="4">
        <v>496300</v>
      </c>
      <c r="N47" s="4">
        <v>0</v>
      </c>
      <c r="O47" s="4">
        <v>75</v>
      </c>
      <c r="P47" s="4">
        <v>0</v>
      </c>
      <c r="Q47" s="24">
        <v>75</v>
      </c>
      <c r="R47" s="4">
        <v>0</v>
      </c>
      <c r="S47" s="4">
        <v>0</v>
      </c>
      <c r="T47" s="4">
        <v>0</v>
      </c>
      <c r="U47" s="24">
        <v>0</v>
      </c>
      <c r="V47" s="4">
        <v>953</v>
      </c>
      <c r="W47" s="4">
        <v>0</v>
      </c>
      <c r="X47" s="2"/>
      <c r="Y47" s="5" t="s">
        <v>3</v>
      </c>
      <c r="Z47" s="5" t="s">
        <v>439</v>
      </c>
      <c r="AA47" s="5" t="s">
        <v>928</v>
      </c>
      <c r="AB47" s="16" t="s">
        <v>3</v>
      </c>
    </row>
    <row r="48" spans="2:28" x14ac:dyDescent="0.25">
      <c r="B48" s="18" t="s">
        <v>3760</v>
      </c>
      <c r="C48" s="44" t="s">
        <v>1075</v>
      </c>
      <c r="D48" s="20" t="s">
        <v>4074</v>
      </c>
      <c r="E48" s="51" t="s">
        <v>3</v>
      </c>
      <c r="F48" s="11">
        <v>44078</v>
      </c>
      <c r="G48" s="5" t="s">
        <v>191</v>
      </c>
      <c r="H48" s="11">
        <v>44174</v>
      </c>
      <c r="I48" s="5" t="s">
        <v>2686</v>
      </c>
      <c r="J48" s="4">
        <v>294103.74</v>
      </c>
      <c r="K48" s="4">
        <v>294028</v>
      </c>
      <c r="L48" s="4">
        <v>294104</v>
      </c>
      <c r="M48" s="4">
        <v>294104</v>
      </c>
      <c r="N48" s="4">
        <v>0</v>
      </c>
      <c r="O48" s="4">
        <v>76</v>
      </c>
      <c r="P48" s="4">
        <v>0</v>
      </c>
      <c r="Q48" s="24">
        <v>76</v>
      </c>
      <c r="R48" s="4">
        <v>0</v>
      </c>
      <c r="S48" s="4">
        <v>0</v>
      </c>
      <c r="T48" s="4">
        <v>0</v>
      </c>
      <c r="U48" s="24">
        <v>0</v>
      </c>
      <c r="V48" s="4">
        <v>906</v>
      </c>
      <c r="W48" s="4">
        <v>0</v>
      </c>
      <c r="X48" s="2"/>
      <c r="Y48" s="5" t="s">
        <v>3</v>
      </c>
      <c r="Z48" s="5" t="s">
        <v>439</v>
      </c>
      <c r="AA48" s="5" t="s">
        <v>928</v>
      </c>
      <c r="AB48" s="16" t="s">
        <v>3</v>
      </c>
    </row>
    <row r="49" spans="2:28" x14ac:dyDescent="0.25">
      <c r="B49" s="18" t="s">
        <v>483</v>
      </c>
      <c r="C49" s="44" t="s">
        <v>3235</v>
      </c>
      <c r="D49" s="20" t="s">
        <v>3707</v>
      </c>
      <c r="E49" s="51" t="s">
        <v>3</v>
      </c>
      <c r="F49" s="11">
        <v>44131</v>
      </c>
      <c r="G49" s="5" t="s">
        <v>191</v>
      </c>
      <c r="H49" s="11">
        <v>44190</v>
      </c>
      <c r="I49" s="5" t="s">
        <v>2686</v>
      </c>
      <c r="J49" s="4">
        <v>160047.01</v>
      </c>
      <c r="K49" s="4">
        <v>165199</v>
      </c>
      <c r="L49" s="4">
        <v>160047</v>
      </c>
      <c r="M49" s="4">
        <v>160047</v>
      </c>
      <c r="N49" s="4">
        <v>0</v>
      </c>
      <c r="O49" s="4">
        <v>-5152</v>
      </c>
      <c r="P49" s="4">
        <v>0</v>
      </c>
      <c r="Q49" s="24">
        <v>-5152</v>
      </c>
      <c r="R49" s="4">
        <v>0</v>
      </c>
      <c r="S49" s="4">
        <v>0</v>
      </c>
      <c r="T49" s="4">
        <v>0</v>
      </c>
      <c r="U49" s="24">
        <v>0</v>
      </c>
      <c r="V49" s="4">
        <v>819</v>
      </c>
      <c r="W49" s="4">
        <v>71</v>
      </c>
      <c r="X49" s="2"/>
      <c r="Y49" s="5" t="s">
        <v>3</v>
      </c>
      <c r="Z49" s="5" t="s">
        <v>4075</v>
      </c>
      <c r="AA49" s="5" t="s">
        <v>928</v>
      </c>
      <c r="AB49" s="16" t="s">
        <v>3</v>
      </c>
    </row>
    <row r="50" spans="2:28" x14ac:dyDescent="0.25">
      <c r="B50" s="18" t="s">
        <v>1556</v>
      </c>
      <c r="C50" s="44" t="s">
        <v>4076</v>
      </c>
      <c r="D50" s="20" t="s">
        <v>441</v>
      </c>
      <c r="E50" s="51" t="s">
        <v>3</v>
      </c>
      <c r="F50" s="11">
        <v>44027</v>
      </c>
      <c r="G50" s="5" t="s">
        <v>191</v>
      </c>
      <c r="H50" s="11">
        <v>44190</v>
      </c>
      <c r="I50" s="5" t="s">
        <v>2686</v>
      </c>
      <c r="J50" s="4">
        <v>483549.98</v>
      </c>
      <c r="K50" s="4">
        <v>490199</v>
      </c>
      <c r="L50" s="4">
        <v>483550</v>
      </c>
      <c r="M50" s="4">
        <v>483550</v>
      </c>
      <c r="N50" s="4">
        <v>0</v>
      </c>
      <c r="O50" s="4">
        <v>-6649</v>
      </c>
      <c r="P50" s="4">
        <v>0</v>
      </c>
      <c r="Q50" s="24">
        <v>-6649</v>
      </c>
      <c r="R50" s="4">
        <v>0</v>
      </c>
      <c r="S50" s="4">
        <v>0</v>
      </c>
      <c r="T50" s="4">
        <v>0</v>
      </c>
      <c r="U50" s="24">
        <v>0</v>
      </c>
      <c r="V50" s="4">
        <v>3576</v>
      </c>
      <c r="W50" s="4">
        <v>691</v>
      </c>
      <c r="X50" s="2"/>
      <c r="Y50" s="5" t="s">
        <v>3</v>
      </c>
      <c r="Z50" s="5" t="s">
        <v>4077</v>
      </c>
      <c r="AA50" s="5" t="s">
        <v>928</v>
      </c>
      <c r="AB50" s="16" t="s">
        <v>3</v>
      </c>
    </row>
    <row r="51" spans="2:28" x14ac:dyDescent="0.25">
      <c r="B51" s="18" t="s">
        <v>2643</v>
      </c>
      <c r="C51" s="44" t="s">
        <v>1269</v>
      </c>
      <c r="D51" s="20" t="s">
        <v>3707</v>
      </c>
      <c r="E51" s="51" t="s">
        <v>3</v>
      </c>
      <c r="F51" s="11">
        <v>44035</v>
      </c>
      <c r="G51" s="5" t="s">
        <v>198</v>
      </c>
      <c r="H51" s="11">
        <v>44190</v>
      </c>
      <c r="I51" s="5" t="s">
        <v>2686</v>
      </c>
      <c r="J51" s="4">
        <v>340825.45</v>
      </c>
      <c r="K51" s="4">
        <v>351476</v>
      </c>
      <c r="L51" s="4">
        <v>340825</v>
      </c>
      <c r="M51" s="4">
        <v>340825</v>
      </c>
      <c r="N51" s="4">
        <v>0</v>
      </c>
      <c r="O51" s="4">
        <v>-10651</v>
      </c>
      <c r="P51" s="4">
        <v>0</v>
      </c>
      <c r="Q51" s="24">
        <v>-10651</v>
      </c>
      <c r="R51" s="4">
        <v>0</v>
      </c>
      <c r="S51" s="4">
        <v>0</v>
      </c>
      <c r="T51" s="4">
        <v>0</v>
      </c>
      <c r="U51" s="24">
        <v>0</v>
      </c>
      <c r="V51" s="4">
        <v>2416</v>
      </c>
      <c r="W51" s="4">
        <v>52</v>
      </c>
      <c r="X51" s="2"/>
      <c r="Y51" s="5" t="s">
        <v>3</v>
      </c>
      <c r="Z51" s="5" t="s">
        <v>4075</v>
      </c>
      <c r="AA51" s="5" t="s">
        <v>928</v>
      </c>
      <c r="AB51" s="16" t="s">
        <v>3</v>
      </c>
    </row>
    <row r="52" spans="2:28" x14ac:dyDescent="0.25">
      <c r="B52" s="18" t="s">
        <v>3761</v>
      </c>
      <c r="C52" s="44" t="s">
        <v>3526</v>
      </c>
      <c r="D52" s="20" t="s">
        <v>4192</v>
      </c>
      <c r="E52" s="51" t="s">
        <v>3</v>
      </c>
      <c r="F52" s="11">
        <v>43935</v>
      </c>
      <c r="G52" s="5" t="s">
        <v>191</v>
      </c>
      <c r="H52" s="11">
        <v>44056</v>
      </c>
      <c r="I52" s="5" t="s">
        <v>4396</v>
      </c>
      <c r="J52" s="4">
        <v>2000000</v>
      </c>
      <c r="K52" s="4">
        <v>2010000</v>
      </c>
      <c r="L52" s="4">
        <v>2009041</v>
      </c>
      <c r="M52" s="4">
        <v>2009041</v>
      </c>
      <c r="N52" s="4">
        <v>0</v>
      </c>
      <c r="O52" s="4">
        <v>-959</v>
      </c>
      <c r="P52" s="4">
        <v>0</v>
      </c>
      <c r="Q52" s="24">
        <v>-959</v>
      </c>
      <c r="R52" s="4">
        <v>0</v>
      </c>
      <c r="S52" s="4">
        <v>0</v>
      </c>
      <c r="T52" s="4">
        <v>0</v>
      </c>
      <c r="U52" s="24">
        <v>0</v>
      </c>
      <c r="V52" s="4">
        <v>50000</v>
      </c>
      <c r="W52" s="4">
        <v>46111</v>
      </c>
      <c r="X52" s="2"/>
      <c r="Y52" s="5" t="s">
        <v>3936</v>
      </c>
      <c r="Z52" s="5" t="s">
        <v>2829</v>
      </c>
      <c r="AA52" s="5" t="s">
        <v>928</v>
      </c>
      <c r="AB52" s="16" t="s">
        <v>3</v>
      </c>
    </row>
    <row r="53" spans="2:28" x14ac:dyDescent="0.25">
      <c r="B53" s="18" t="s">
        <v>484</v>
      </c>
      <c r="C53" s="44" t="s">
        <v>3061</v>
      </c>
      <c r="D53" s="20" t="s">
        <v>4193</v>
      </c>
      <c r="E53" s="51" t="s">
        <v>3</v>
      </c>
      <c r="F53" s="11">
        <v>43973</v>
      </c>
      <c r="G53" s="5" t="s">
        <v>4396</v>
      </c>
      <c r="H53" s="11">
        <v>44119</v>
      </c>
      <c r="I53" s="5" t="s">
        <v>526</v>
      </c>
      <c r="J53" s="4">
        <v>372000</v>
      </c>
      <c r="K53" s="4">
        <v>374336</v>
      </c>
      <c r="L53" s="4">
        <v>372000</v>
      </c>
      <c r="M53" s="4">
        <v>372000</v>
      </c>
      <c r="N53" s="4">
        <v>0</v>
      </c>
      <c r="O53" s="4">
        <v>-2336</v>
      </c>
      <c r="P53" s="4">
        <v>0</v>
      </c>
      <c r="Q53" s="24">
        <v>-2336</v>
      </c>
      <c r="R53" s="4">
        <v>0</v>
      </c>
      <c r="S53" s="4">
        <v>0</v>
      </c>
      <c r="T53" s="4">
        <v>0</v>
      </c>
      <c r="U53" s="24">
        <v>0</v>
      </c>
      <c r="V53" s="4">
        <v>11625</v>
      </c>
      <c r="W53" s="4">
        <v>0</v>
      </c>
      <c r="X53" s="2"/>
      <c r="Y53" s="5" t="s">
        <v>1749</v>
      </c>
      <c r="Z53" s="5" t="s">
        <v>342</v>
      </c>
      <c r="AA53" s="5" t="s">
        <v>3</v>
      </c>
      <c r="AB53" s="16" t="s">
        <v>3</v>
      </c>
    </row>
    <row r="54" spans="2:28" x14ac:dyDescent="0.25">
      <c r="B54" s="18" t="s">
        <v>1558</v>
      </c>
      <c r="C54" s="44" t="s">
        <v>3711</v>
      </c>
      <c r="D54" s="20" t="s">
        <v>446</v>
      </c>
      <c r="E54" s="51" t="s">
        <v>3</v>
      </c>
      <c r="F54" s="11">
        <v>44166</v>
      </c>
      <c r="G54" s="5" t="s">
        <v>198</v>
      </c>
      <c r="H54" s="11">
        <v>44185</v>
      </c>
      <c r="I54" s="5" t="s">
        <v>2686</v>
      </c>
      <c r="J54" s="4">
        <v>21138.42</v>
      </c>
      <c r="K54" s="4">
        <v>21594</v>
      </c>
      <c r="L54" s="4">
        <v>21138</v>
      </c>
      <c r="M54" s="4">
        <v>21138</v>
      </c>
      <c r="N54" s="4">
        <v>0</v>
      </c>
      <c r="O54" s="4">
        <v>-456</v>
      </c>
      <c r="P54" s="4">
        <v>0</v>
      </c>
      <c r="Q54" s="24">
        <v>-456</v>
      </c>
      <c r="R54" s="4">
        <v>0</v>
      </c>
      <c r="S54" s="4">
        <v>0</v>
      </c>
      <c r="T54" s="4">
        <v>0</v>
      </c>
      <c r="U54" s="24">
        <v>0</v>
      </c>
      <c r="V54" s="4">
        <v>43</v>
      </c>
      <c r="W54" s="4">
        <v>18</v>
      </c>
      <c r="X54" s="2"/>
      <c r="Y54" s="5" t="s">
        <v>3</v>
      </c>
      <c r="Z54" s="5" t="s">
        <v>1270</v>
      </c>
      <c r="AA54" s="5" t="s">
        <v>928</v>
      </c>
      <c r="AB54" s="16" t="s">
        <v>3</v>
      </c>
    </row>
    <row r="55" spans="2:28" x14ac:dyDescent="0.25">
      <c r="B55" s="18" t="s">
        <v>2644</v>
      </c>
      <c r="C55" s="44" t="s">
        <v>3712</v>
      </c>
      <c r="D55" s="20" t="s">
        <v>446</v>
      </c>
      <c r="E55" s="51" t="s">
        <v>3</v>
      </c>
      <c r="F55" s="11">
        <v>44036</v>
      </c>
      <c r="G55" s="5" t="s">
        <v>198</v>
      </c>
      <c r="H55" s="11">
        <v>44185</v>
      </c>
      <c r="I55" s="5" t="s">
        <v>2686</v>
      </c>
      <c r="J55" s="4">
        <v>417066.6</v>
      </c>
      <c r="K55" s="4">
        <v>421498</v>
      </c>
      <c r="L55" s="4">
        <v>417067</v>
      </c>
      <c r="M55" s="4">
        <v>417067</v>
      </c>
      <c r="N55" s="4">
        <v>0</v>
      </c>
      <c r="O55" s="4">
        <v>-4431</v>
      </c>
      <c r="P55" s="4">
        <v>0</v>
      </c>
      <c r="Q55" s="24">
        <v>-4431</v>
      </c>
      <c r="R55" s="4">
        <v>0</v>
      </c>
      <c r="S55" s="4">
        <v>0</v>
      </c>
      <c r="T55" s="4">
        <v>0</v>
      </c>
      <c r="U55" s="24">
        <v>0</v>
      </c>
      <c r="V55" s="4">
        <v>2845</v>
      </c>
      <c r="W55" s="4">
        <v>255</v>
      </c>
      <c r="X55" s="2"/>
      <c r="Y55" s="5" t="s">
        <v>3</v>
      </c>
      <c r="Z55" s="5" t="s">
        <v>1270</v>
      </c>
      <c r="AA55" s="5" t="s">
        <v>928</v>
      </c>
      <c r="AB55" s="16" t="s">
        <v>3</v>
      </c>
    </row>
    <row r="56" spans="2:28" x14ac:dyDescent="0.25">
      <c r="B56" s="18" t="s">
        <v>3762</v>
      </c>
      <c r="C56" s="44" t="s">
        <v>2607</v>
      </c>
      <c r="D56" s="20" t="s">
        <v>1513</v>
      </c>
      <c r="E56" s="51" t="s">
        <v>3</v>
      </c>
      <c r="F56" s="11">
        <v>44166</v>
      </c>
      <c r="G56" s="5" t="s">
        <v>198</v>
      </c>
      <c r="H56" s="11">
        <v>44185</v>
      </c>
      <c r="I56" s="5" t="s">
        <v>2686</v>
      </c>
      <c r="J56" s="4">
        <v>919304.36</v>
      </c>
      <c r="K56" s="4">
        <v>936376</v>
      </c>
      <c r="L56" s="4">
        <v>919304</v>
      </c>
      <c r="M56" s="4">
        <v>919304</v>
      </c>
      <c r="N56" s="4">
        <v>0</v>
      </c>
      <c r="O56" s="4">
        <v>-17072</v>
      </c>
      <c r="P56" s="4">
        <v>0</v>
      </c>
      <c r="Q56" s="24">
        <v>-17072</v>
      </c>
      <c r="R56" s="4">
        <v>0</v>
      </c>
      <c r="S56" s="4">
        <v>0</v>
      </c>
      <c r="T56" s="4">
        <v>0</v>
      </c>
      <c r="U56" s="24">
        <v>0</v>
      </c>
      <c r="V56" s="4">
        <v>4931</v>
      </c>
      <c r="W56" s="4">
        <v>174</v>
      </c>
      <c r="X56" s="2"/>
      <c r="Y56" s="5" t="s">
        <v>3</v>
      </c>
      <c r="Z56" s="5" t="s">
        <v>4082</v>
      </c>
      <c r="AA56" s="5" t="s">
        <v>928</v>
      </c>
      <c r="AB56" s="16" t="s">
        <v>3</v>
      </c>
    </row>
    <row r="57" spans="2:28" x14ac:dyDescent="0.25">
      <c r="B57" s="18" t="s">
        <v>1559</v>
      </c>
      <c r="C57" s="44" t="s">
        <v>2346</v>
      </c>
      <c r="D57" s="20" t="s">
        <v>1513</v>
      </c>
      <c r="E57" s="51" t="s">
        <v>3</v>
      </c>
      <c r="F57" s="11">
        <v>44034</v>
      </c>
      <c r="G57" s="5" t="s">
        <v>198</v>
      </c>
      <c r="H57" s="11">
        <v>44185</v>
      </c>
      <c r="I57" s="5" t="s">
        <v>2686</v>
      </c>
      <c r="J57" s="4">
        <v>221390.59</v>
      </c>
      <c r="K57" s="4">
        <v>221356</v>
      </c>
      <c r="L57" s="4">
        <v>221391</v>
      </c>
      <c r="M57" s="4">
        <v>221391</v>
      </c>
      <c r="N57" s="4">
        <v>0</v>
      </c>
      <c r="O57" s="4">
        <v>35</v>
      </c>
      <c r="P57" s="4">
        <v>0</v>
      </c>
      <c r="Q57" s="24">
        <v>35</v>
      </c>
      <c r="R57" s="4">
        <v>0</v>
      </c>
      <c r="S57" s="4">
        <v>0</v>
      </c>
      <c r="T57" s="4">
        <v>0</v>
      </c>
      <c r="U57" s="24">
        <v>0</v>
      </c>
      <c r="V57" s="4">
        <v>1311</v>
      </c>
      <c r="W57" s="4">
        <v>60</v>
      </c>
      <c r="X57" s="2"/>
      <c r="Y57" s="5" t="s">
        <v>3</v>
      </c>
      <c r="Z57" s="5" t="s">
        <v>4082</v>
      </c>
      <c r="AA57" s="5" t="s">
        <v>928</v>
      </c>
      <c r="AB57" s="16" t="s">
        <v>3</v>
      </c>
    </row>
    <row r="58" spans="2:28" x14ac:dyDescent="0.25">
      <c r="B58" s="18" t="s">
        <v>2645</v>
      </c>
      <c r="C58" s="44" t="s">
        <v>4084</v>
      </c>
      <c r="D58" s="20" t="s">
        <v>3717</v>
      </c>
      <c r="E58" s="51" t="s">
        <v>3</v>
      </c>
      <c r="F58" s="11">
        <v>44025</v>
      </c>
      <c r="G58" s="5" t="s">
        <v>198</v>
      </c>
      <c r="H58" s="11">
        <v>44185</v>
      </c>
      <c r="I58" s="5" t="s">
        <v>2686</v>
      </c>
      <c r="J58" s="4">
        <v>735925.68</v>
      </c>
      <c r="K58" s="4">
        <v>735839</v>
      </c>
      <c r="L58" s="4">
        <v>735926</v>
      </c>
      <c r="M58" s="4">
        <v>735926</v>
      </c>
      <c r="N58" s="4">
        <v>0</v>
      </c>
      <c r="O58" s="4">
        <v>87</v>
      </c>
      <c r="P58" s="4">
        <v>0</v>
      </c>
      <c r="Q58" s="24">
        <v>87</v>
      </c>
      <c r="R58" s="4">
        <v>0</v>
      </c>
      <c r="S58" s="4">
        <v>0</v>
      </c>
      <c r="T58" s="4">
        <v>0</v>
      </c>
      <c r="U58" s="24">
        <v>0</v>
      </c>
      <c r="V58" s="4">
        <v>3282</v>
      </c>
      <c r="W58" s="4">
        <v>0</v>
      </c>
      <c r="X58" s="2"/>
      <c r="Y58" s="5" t="s">
        <v>3</v>
      </c>
      <c r="Z58" s="5" t="s">
        <v>2964</v>
      </c>
      <c r="AA58" s="5" t="s">
        <v>928</v>
      </c>
      <c r="AB58" s="16" t="s">
        <v>3</v>
      </c>
    </row>
    <row r="59" spans="2:28" x14ac:dyDescent="0.25">
      <c r="B59" s="18" t="s">
        <v>3763</v>
      </c>
      <c r="C59" s="44" t="s">
        <v>3718</v>
      </c>
      <c r="D59" s="20" t="s">
        <v>3717</v>
      </c>
      <c r="E59" s="51" t="s">
        <v>3</v>
      </c>
      <c r="F59" s="11">
        <v>44025</v>
      </c>
      <c r="G59" s="5" t="s">
        <v>198</v>
      </c>
      <c r="H59" s="11">
        <v>44185</v>
      </c>
      <c r="I59" s="5" t="s">
        <v>2686</v>
      </c>
      <c r="J59" s="4">
        <v>183981.42</v>
      </c>
      <c r="K59" s="4">
        <v>183956</v>
      </c>
      <c r="L59" s="4">
        <v>183981</v>
      </c>
      <c r="M59" s="4">
        <v>183981</v>
      </c>
      <c r="N59" s="4">
        <v>0</v>
      </c>
      <c r="O59" s="4">
        <v>25</v>
      </c>
      <c r="P59" s="4">
        <v>0</v>
      </c>
      <c r="Q59" s="24">
        <v>25</v>
      </c>
      <c r="R59" s="4">
        <v>0</v>
      </c>
      <c r="S59" s="4">
        <v>0</v>
      </c>
      <c r="T59" s="4">
        <v>0</v>
      </c>
      <c r="U59" s="24">
        <v>0</v>
      </c>
      <c r="V59" s="4">
        <v>1287</v>
      </c>
      <c r="W59" s="4">
        <v>0</v>
      </c>
      <c r="X59" s="2"/>
      <c r="Y59" s="5" t="s">
        <v>3</v>
      </c>
      <c r="Z59" s="5" t="s">
        <v>2964</v>
      </c>
      <c r="AA59" s="5" t="s">
        <v>928</v>
      </c>
      <c r="AB59" s="16" t="s">
        <v>3</v>
      </c>
    </row>
    <row r="60" spans="2:28" x14ac:dyDescent="0.25">
      <c r="B60" s="18" t="s">
        <v>485</v>
      </c>
      <c r="C60" s="44" t="s">
        <v>3723</v>
      </c>
      <c r="D60" s="20" t="s">
        <v>2967</v>
      </c>
      <c r="E60" s="51" t="s">
        <v>3</v>
      </c>
      <c r="F60" s="11">
        <v>44132</v>
      </c>
      <c r="G60" s="5" t="s">
        <v>4394</v>
      </c>
      <c r="H60" s="11">
        <v>44173</v>
      </c>
      <c r="I60" s="5" t="s">
        <v>2686</v>
      </c>
      <c r="J60" s="4">
        <v>136427.24</v>
      </c>
      <c r="K60" s="4">
        <v>135489</v>
      </c>
      <c r="L60" s="4">
        <v>136427</v>
      </c>
      <c r="M60" s="4">
        <v>136427</v>
      </c>
      <c r="N60" s="4">
        <v>0</v>
      </c>
      <c r="O60" s="4">
        <v>938</v>
      </c>
      <c r="P60" s="4">
        <v>0</v>
      </c>
      <c r="Q60" s="24">
        <v>938</v>
      </c>
      <c r="R60" s="4">
        <v>0</v>
      </c>
      <c r="S60" s="4">
        <v>0</v>
      </c>
      <c r="T60" s="4">
        <v>0</v>
      </c>
      <c r="U60" s="24">
        <v>0</v>
      </c>
      <c r="V60" s="4">
        <v>482</v>
      </c>
      <c r="W60" s="4">
        <v>243</v>
      </c>
      <c r="X60" s="2"/>
      <c r="Y60" s="5" t="s">
        <v>3</v>
      </c>
      <c r="Z60" s="5" t="s">
        <v>3237</v>
      </c>
      <c r="AA60" s="5" t="s">
        <v>928</v>
      </c>
      <c r="AB60" s="16" t="s">
        <v>3</v>
      </c>
    </row>
    <row r="61" spans="2:28" x14ac:dyDescent="0.25">
      <c r="B61" s="18" t="s">
        <v>1561</v>
      </c>
      <c r="C61" s="44" t="s">
        <v>3062</v>
      </c>
      <c r="D61" s="20" t="s">
        <v>1618</v>
      </c>
      <c r="E61" s="51" t="s">
        <v>3</v>
      </c>
      <c r="F61" s="11">
        <v>44047</v>
      </c>
      <c r="G61" s="5" t="s">
        <v>1104</v>
      </c>
      <c r="H61" s="11">
        <v>44123</v>
      </c>
      <c r="I61" s="5" t="s">
        <v>4396</v>
      </c>
      <c r="J61" s="4">
        <v>14000000</v>
      </c>
      <c r="K61" s="4">
        <v>14146090</v>
      </c>
      <c r="L61" s="4">
        <v>14140212</v>
      </c>
      <c r="M61" s="4">
        <v>14140212</v>
      </c>
      <c r="N61" s="4">
        <v>0</v>
      </c>
      <c r="O61" s="4">
        <v>-5878</v>
      </c>
      <c r="P61" s="4">
        <v>0</v>
      </c>
      <c r="Q61" s="24">
        <v>-5878</v>
      </c>
      <c r="R61" s="4">
        <v>0</v>
      </c>
      <c r="S61" s="4">
        <v>0</v>
      </c>
      <c r="T61" s="4">
        <v>0</v>
      </c>
      <c r="U61" s="24">
        <v>0</v>
      </c>
      <c r="V61" s="4">
        <v>0</v>
      </c>
      <c r="W61" s="4">
        <v>13361</v>
      </c>
      <c r="X61" s="2"/>
      <c r="Y61" s="5" t="s">
        <v>4296</v>
      </c>
      <c r="Z61" s="5" t="s">
        <v>664</v>
      </c>
      <c r="AA61" s="5" t="s">
        <v>928</v>
      </c>
      <c r="AB61" s="16" t="s">
        <v>3</v>
      </c>
    </row>
    <row r="62" spans="2:28" x14ac:dyDescent="0.25">
      <c r="B62" s="18" t="s">
        <v>2646</v>
      </c>
      <c r="C62" s="44" t="s">
        <v>3457</v>
      </c>
      <c r="D62" s="20" t="s">
        <v>3724</v>
      </c>
      <c r="E62" s="51" t="s">
        <v>3</v>
      </c>
      <c r="F62" s="10">
        <v>44050</v>
      </c>
      <c r="G62" s="5" t="s">
        <v>198</v>
      </c>
      <c r="H62" s="10">
        <v>44185</v>
      </c>
      <c r="I62" s="5" t="s">
        <v>2686</v>
      </c>
      <c r="J62" s="4">
        <v>1169606.72</v>
      </c>
      <c r="K62" s="4">
        <v>1170160</v>
      </c>
      <c r="L62" s="4">
        <v>1169607</v>
      </c>
      <c r="M62" s="4">
        <v>1169607</v>
      </c>
      <c r="N62" s="4">
        <v>0</v>
      </c>
      <c r="O62" s="4">
        <v>-553</v>
      </c>
      <c r="P62" s="4">
        <v>0</v>
      </c>
      <c r="Q62" s="24">
        <v>-553</v>
      </c>
      <c r="R62" s="4">
        <v>0</v>
      </c>
      <c r="S62" s="4">
        <v>0</v>
      </c>
      <c r="T62" s="4">
        <v>0</v>
      </c>
      <c r="U62" s="24">
        <v>0</v>
      </c>
      <c r="V62" s="4">
        <v>5971</v>
      </c>
      <c r="W62" s="4">
        <v>0</v>
      </c>
      <c r="X62" s="2"/>
      <c r="Y62" s="5" t="s">
        <v>3</v>
      </c>
      <c r="Z62" s="5" t="s">
        <v>4089</v>
      </c>
      <c r="AA62" s="5" t="s">
        <v>928</v>
      </c>
      <c r="AB62" s="16" t="s">
        <v>3</v>
      </c>
    </row>
    <row r="63" spans="2:28" x14ac:dyDescent="0.25">
      <c r="B63" s="18" t="s">
        <v>3764</v>
      </c>
      <c r="C63" s="44" t="s">
        <v>1881</v>
      </c>
      <c r="D63" s="20" t="s">
        <v>3724</v>
      </c>
      <c r="E63" s="51" t="s">
        <v>3</v>
      </c>
      <c r="F63" s="10">
        <v>44040</v>
      </c>
      <c r="G63" s="5" t="s">
        <v>191</v>
      </c>
      <c r="H63" s="10">
        <v>44185</v>
      </c>
      <c r="I63" s="5" t="s">
        <v>2686</v>
      </c>
      <c r="J63" s="4">
        <v>514121.86</v>
      </c>
      <c r="K63" s="4">
        <v>507053</v>
      </c>
      <c r="L63" s="4">
        <v>514122</v>
      </c>
      <c r="M63" s="4">
        <v>514122</v>
      </c>
      <c r="N63" s="4">
        <v>0</v>
      </c>
      <c r="O63" s="4">
        <v>7069</v>
      </c>
      <c r="P63" s="4">
        <v>0</v>
      </c>
      <c r="Q63" s="24">
        <v>7069</v>
      </c>
      <c r="R63" s="4">
        <v>0</v>
      </c>
      <c r="S63" s="4">
        <v>0</v>
      </c>
      <c r="T63" s="4">
        <v>0</v>
      </c>
      <c r="U63" s="24">
        <v>0</v>
      </c>
      <c r="V63" s="4">
        <v>3926</v>
      </c>
      <c r="W63" s="4">
        <v>446</v>
      </c>
      <c r="X63" s="2"/>
      <c r="Y63" s="5" t="s">
        <v>3</v>
      </c>
      <c r="Z63" s="5" t="s">
        <v>4089</v>
      </c>
      <c r="AA63" s="5" t="s">
        <v>928</v>
      </c>
      <c r="AB63" s="16" t="s">
        <v>3</v>
      </c>
    </row>
    <row r="64" spans="2:28" x14ac:dyDescent="0.25">
      <c r="B64" s="18" t="s">
        <v>486</v>
      </c>
      <c r="C64" s="44" t="s">
        <v>788</v>
      </c>
      <c r="D64" s="20" t="s">
        <v>3724</v>
      </c>
      <c r="E64" s="51" t="s">
        <v>3</v>
      </c>
      <c r="F64" s="10">
        <v>44034</v>
      </c>
      <c r="G64" s="5" t="s">
        <v>2994</v>
      </c>
      <c r="H64" s="10">
        <v>44185</v>
      </c>
      <c r="I64" s="5" t="s">
        <v>2686</v>
      </c>
      <c r="J64" s="4">
        <v>521647.62</v>
      </c>
      <c r="K64" s="4">
        <v>524011</v>
      </c>
      <c r="L64" s="4">
        <v>521648</v>
      </c>
      <c r="M64" s="4">
        <v>521648</v>
      </c>
      <c r="N64" s="4">
        <v>0</v>
      </c>
      <c r="O64" s="4">
        <v>-2364</v>
      </c>
      <c r="P64" s="4">
        <v>0</v>
      </c>
      <c r="Q64" s="24">
        <v>-2364</v>
      </c>
      <c r="R64" s="4">
        <v>0</v>
      </c>
      <c r="S64" s="4">
        <v>0</v>
      </c>
      <c r="T64" s="4">
        <v>0</v>
      </c>
      <c r="U64" s="24">
        <v>0</v>
      </c>
      <c r="V64" s="4">
        <v>2899</v>
      </c>
      <c r="W64" s="4">
        <v>135</v>
      </c>
      <c r="X64" s="2"/>
      <c r="Y64" s="5" t="s">
        <v>3</v>
      </c>
      <c r="Z64" s="5" t="s">
        <v>4089</v>
      </c>
      <c r="AA64" s="5" t="s">
        <v>928</v>
      </c>
      <c r="AB64" s="16" t="s">
        <v>3</v>
      </c>
    </row>
    <row r="65" spans="2:28" x14ac:dyDescent="0.25">
      <c r="B65" s="18" t="s">
        <v>1911</v>
      </c>
      <c r="C65" s="44" t="s">
        <v>1274</v>
      </c>
      <c r="D65" s="20" t="s">
        <v>3724</v>
      </c>
      <c r="E65" s="51" t="s">
        <v>3</v>
      </c>
      <c r="F65" s="10">
        <v>44166</v>
      </c>
      <c r="G65" s="5" t="s">
        <v>198</v>
      </c>
      <c r="H65" s="10">
        <v>44185</v>
      </c>
      <c r="I65" s="5" t="s">
        <v>2686</v>
      </c>
      <c r="J65" s="4">
        <v>25177.599999999999</v>
      </c>
      <c r="K65" s="4">
        <v>25930</v>
      </c>
      <c r="L65" s="4">
        <v>25178</v>
      </c>
      <c r="M65" s="4">
        <v>25178</v>
      </c>
      <c r="N65" s="4">
        <v>0</v>
      </c>
      <c r="O65" s="4">
        <v>-752</v>
      </c>
      <c r="P65" s="4">
        <v>0</v>
      </c>
      <c r="Q65" s="24">
        <v>-752</v>
      </c>
      <c r="R65" s="4">
        <v>0</v>
      </c>
      <c r="S65" s="4">
        <v>0</v>
      </c>
      <c r="T65" s="4">
        <v>0</v>
      </c>
      <c r="U65" s="24">
        <v>0</v>
      </c>
      <c r="V65" s="4">
        <v>77</v>
      </c>
      <c r="W65" s="4">
        <v>33</v>
      </c>
      <c r="X65" s="2"/>
      <c r="Y65" s="5" t="s">
        <v>3</v>
      </c>
      <c r="Z65" s="5" t="s">
        <v>4089</v>
      </c>
      <c r="AA65" s="5" t="s">
        <v>928</v>
      </c>
      <c r="AB65" s="16" t="s">
        <v>3</v>
      </c>
    </row>
    <row r="66" spans="2:28" x14ac:dyDescent="0.25">
      <c r="B66" s="18" t="s">
        <v>2996</v>
      </c>
      <c r="C66" s="44" t="s">
        <v>2613</v>
      </c>
      <c r="D66" s="20" t="s">
        <v>3724</v>
      </c>
      <c r="E66" s="51" t="s">
        <v>3</v>
      </c>
      <c r="F66" s="10">
        <v>44040</v>
      </c>
      <c r="G66" s="5" t="s">
        <v>191</v>
      </c>
      <c r="H66" s="10">
        <v>44185</v>
      </c>
      <c r="I66" s="5" t="s">
        <v>2686</v>
      </c>
      <c r="J66" s="4">
        <v>1151622.67</v>
      </c>
      <c r="K66" s="4">
        <v>1157021</v>
      </c>
      <c r="L66" s="4">
        <v>1151623</v>
      </c>
      <c r="M66" s="4">
        <v>1151623</v>
      </c>
      <c r="N66" s="4">
        <v>0</v>
      </c>
      <c r="O66" s="4">
        <v>-5398</v>
      </c>
      <c r="P66" s="4">
        <v>0</v>
      </c>
      <c r="Q66" s="24">
        <v>-5398</v>
      </c>
      <c r="R66" s="4">
        <v>0</v>
      </c>
      <c r="S66" s="4">
        <v>0</v>
      </c>
      <c r="T66" s="4">
        <v>0</v>
      </c>
      <c r="U66" s="24">
        <v>0</v>
      </c>
      <c r="V66" s="4">
        <v>10735</v>
      </c>
      <c r="W66" s="4">
        <v>1206</v>
      </c>
      <c r="X66" s="2"/>
      <c r="Y66" s="5" t="s">
        <v>3</v>
      </c>
      <c r="Z66" s="5" t="s">
        <v>4089</v>
      </c>
      <c r="AA66" s="5" t="s">
        <v>928</v>
      </c>
      <c r="AB66" s="16" t="s">
        <v>3</v>
      </c>
    </row>
    <row r="67" spans="2:28" x14ac:dyDescent="0.25">
      <c r="B67" s="18" t="s">
        <v>487</v>
      </c>
      <c r="C67" s="44" t="s">
        <v>2349</v>
      </c>
      <c r="D67" s="20" t="s">
        <v>3724</v>
      </c>
      <c r="E67" s="51" t="s">
        <v>3</v>
      </c>
      <c r="F67" s="10">
        <v>44131</v>
      </c>
      <c r="G67" s="5" t="s">
        <v>191</v>
      </c>
      <c r="H67" s="10">
        <v>44185</v>
      </c>
      <c r="I67" s="5" t="s">
        <v>2686</v>
      </c>
      <c r="J67" s="4">
        <v>362643.13</v>
      </c>
      <c r="K67" s="4">
        <v>372502</v>
      </c>
      <c r="L67" s="4">
        <v>362643</v>
      </c>
      <c r="M67" s="4">
        <v>362643</v>
      </c>
      <c r="N67" s="4">
        <v>0</v>
      </c>
      <c r="O67" s="4">
        <v>-9859</v>
      </c>
      <c r="P67" s="4">
        <v>0</v>
      </c>
      <c r="Q67" s="24">
        <v>-9859</v>
      </c>
      <c r="R67" s="4">
        <v>0</v>
      </c>
      <c r="S67" s="4">
        <v>0</v>
      </c>
      <c r="T67" s="4">
        <v>0</v>
      </c>
      <c r="U67" s="24">
        <v>0</v>
      </c>
      <c r="V67" s="4">
        <v>1889</v>
      </c>
      <c r="W67" s="4">
        <v>378</v>
      </c>
      <c r="X67" s="2"/>
      <c r="Y67" s="5" t="s">
        <v>3</v>
      </c>
      <c r="Z67" s="5" t="s">
        <v>4089</v>
      </c>
      <c r="AA67" s="5" t="s">
        <v>928</v>
      </c>
      <c r="AB67" s="16" t="s">
        <v>3</v>
      </c>
    </row>
    <row r="68" spans="2:28" x14ac:dyDescent="0.25">
      <c r="B68" s="18" t="s">
        <v>1563</v>
      </c>
      <c r="C68" s="44" t="s">
        <v>3238</v>
      </c>
      <c r="D68" s="20" t="s">
        <v>1080</v>
      </c>
      <c r="E68" s="51" t="s">
        <v>3</v>
      </c>
      <c r="F68" s="10">
        <v>43845</v>
      </c>
      <c r="G68" s="5" t="s">
        <v>4397</v>
      </c>
      <c r="H68" s="10">
        <v>44185</v>
      </c>
      <c r="I68" s="5" t="s">
        <v>2686</v>
      </c>
      <c r="J68" s="4">
        <v>16666.669999999998</v>
      </c>
      <c r="K68" s="4">
        <v>16667</v>
      </c>
      <c r="L68" s="4">
        <v>16667</v>
      </c>
      <c r="M68" s="4">
        <v>16667</v>
      </c>
      <c r="N68" s="4">
        <v>0</v>
      </c>
      <c r="O68" s="4">
        <v>0</v>
      </c>
      <c r="P68" s="4">
        <v>0</v>
      </c>
      <c r="Q68" s="24">
        <v>0</v>
      </c>
      <c r="R68" s="4">
        <v>0</v>
      </c>
      <c r="S68" s="4">
        <v>0</v>
      </c>
      <c r="T68" s="4">
        <v>0</v>
      </c>
      <c r="U68" s="24">
        <v>0</v>
      </c>
      <c r="V68" s="4">
        <v>387</v>
      </c>
      <c r="W68" s="4">
        <v>0</v>
      </c>
      <c r="X68" s="2"/>
      <c r="Y68" s="5" t="s">
        <v>3</v>
      </c>
      <c r="Z68" s="5" t="s">
        <v>1275</v>
      </c>
      <c r="AA68" s="5" t="s">
        <v>928</v>
      </c>
      <c r="AB68" s="16" t="s">
        <v>3</v>
      </c>
    </row>
    <row r="69" spans="2:28" x14ac:dyDescent="0.25">
      <c r="B69" s="18" t="s">
        <v>2647</v>
      </c>
      <c r="C69" s="44" t="s">
        <v>792</v>
      </c>
      <c r="D69" s="20" t="s">
        <v>3725</v>
      </c>
      <c r="E69" s="51" t="s">
        <v>3</v>
      </c>
      <c r="F69" s="10">
        <v>44060</v>
      </c>
      <c r="G69" s="5" t="s">
        <v>4394</v>
      </c>
      <c r="H69" s="10">
        <v>44185</v>
      </c>
      <c r="I69" s="5" t="s">
        <v>2686</v>
      </c>
      <c r="J69" s="4">
        <v>400000</v>
      </c>
      <c r="K69" s="4">
        <v>399826</v>
      </c>
      <c r="L69" s="4">
        <v>400000</v>
      </c>
      <c r="M69" s="4">
        <v>400000</v>
      </c>
      <c r="N69" s="4">
        <v>0</v>
      </c>
      <c r="O69" s="4">
        <v>174</v>
      </c>
      <c r="P69" s="4">
        <v>0</v>
      </c>
      <c r="Q69" s="24">
        <v>174</v>
      </c>
      <c r="R69" s="4">
        <v>0</v>
      </c>
      <c r="S69" s="4">
        <v>0</v>
      </c>
      <c r="T69" s="4">
        <v>0</v>
      </c>
      <c r="U69" s="24">
        <v>0</v>
      </c>
      <c r="V69" s="4">
        <v>1602</v>
      </c>
      <c r="W69" s="4">
        <v>0</v>
      </c>
      <c r="X69" s="2"/>
      <c r="Y69" s="5" t="s">
        <v>3</v>
      </c>
      <c r="Z69" s="5" t="s">
        <v>165</v>
      </c>
      <c r="AA69" s="5" t="s">
        <v>928</v>
      </c>
      <c r="AB69" s="16" t="s">
        <v>3</v>
      </c>
    </row>
    <row r="70" spans="2:28" x14ac:dyDescent="0.25">
      <c r="B70" s="18" t="s">
        <v>3766</v>
      </c>
      <c r="C70" s="44" t="s">
        <v>166</v>
      </c>
      <c r="D70" s="20" t="s">
        <v>1520</v>
      </c>
      <c r="E70" s="51" t="s">
        <v>3</v>
      </c>
      <c r="F70" s="10">
        <v>44083</v>
      </c>
      <c r="G70" s="5" t="s">
        <v>4394</v>
      </c>
      <c r="H70" s="10">
        <v>44185</v>
      </c>
      <c r="I70" s="5" t="s">
        <v>2686</v>
      </c>
      <c r="J70" s="4">
        <v>262500</v>
      </c>
      <c r="K70" s="4">
        <v>262395</v>
      </c>
      <c r="L70" s="4">
        <v>262500</v>
      </c>
      <c r="M70" s="4">
        <v>262500</v>
      </c>
      <c r="N70" s="4">
        <v>0</v>
      </c>
      <c r="O70" s="4">
        <v>105</v>
      </c>
      <c r="P70" s="4">
        <v>0</v>
      </c>
      <c r="Q70" s="24">
        <v>105</v>
      </c>
      <c r="R70" s="4">
        <v>0</v>
      </c>
      <c r="S70" s="4">
        <v>0</v>
      </c>
      <c r="T70" s="4">
        <v>0</v>
      </c>
      <c r="U70" s="24">
        <v>0</v>
      </c>
      <c r="V70" s="4">
        <v>882</v>
      </c>
      <c r="W70" s="4">
        <v>0</v>
      </c>
      <c r="X70" s="2"/>
      <c r="Y70" s="5" t="s">
        <v>3</v>
      </c>
      <c r="Z70" s="5" t="s">
        <v>2350</v>
      </c>
      <c r="AA70" s="5" t="s">
        <v>928</v>
      </c>
      <c r="AB70" s="16" t="s">
        <v>3</v>
      </c>
    </row>
    <row r="71" spans="2:28" x14ac:dyDescent="0.25">
      <c r="B71" s="18" t="s">
        <v>488</v>
      </c>
      <c r="C71" s="44" t="s">
        <v>2615</v>
      </c>
      <c r="D71" s="20" t="s">
        <v>4097</v>
      </c>
      <c r="E71" s="51" t="s">
        <v>3</v>
      </c>
      <c r="F71" s="10">
        <v>44054</v>
      </c>
      <c r="G71" s="5" t="s">
        <v>1104</v>
      </c>
      <c r="H71" s="10">
        <v>44185</v>
      </c>
      <c r="I71" s="5" t="s">
        <v>2686</v>
      </c>
      <c r="J71" s="4">
        <v>488819.8</v>
      </c>
      <c r="K71" s="4">
        <v>490560</v>
      </c>
      <c r="L71" s="4">
        <v>488820</v>
      </c>
      <c r="M71" s="4">
        <v>488820</v>
      </c>
      <c r="N71" s="4">
        <v>0</v>
      </c>
      <c r="O71" s="4">
        <v>-1740</v>
      </c>
      <c r="P71" s="4">
        <v>0</v>
      </c>
      <c r="Q71" s="24">
        <v>-1740</v>
      </c>
      <c r="R71" s="4">
        <v>0</v>
      </c>
      <c r="S71" s="4">
        <v>0</v>
      </c>
      <c r="T71" s="4">
        <v>0</v>
      </c>
      <c r="U71" s="24">
        <v>0</v>
      </c>
      <c r="V71" s="4">
        <v>2804</v>
      </c>
      <c r="W71" s="4">
        <v>0</v>
      </c>
      <c r="X71" s="2"/>
      <c r="Y71" s="5" t="s">
        <v>3</v>
      </c>
      <c r="Z71" s="5" t="s">
        <v>2616</v>
      </c>
      <c r="AA71" s="5" t="s">
        <v>928</v>
      </c>
      <c r="AB71" s="16" t="s">
        <v>3</v>
      </c>
    </row>
    <row r="72" spans="2:28" x14ac:dyDescent="0.25">
      <c r="B72" s="18" t="s">
        <v>1564</v>
      </c>
      <c r="C72" s="44" t="s">
        <v>4371</v>
      </c>
      <c r="D72" s="20" t="s">
        <v>3460</v>
      </c>
      <c r="E72" s="51" t="s">
        <v>3</v>
      </c>
      <c r="F72" s="10">
        <v>44068</v>
      </c>
      <c r="G72" s="5" t="s">
        <v>4395</v>
      </c>
      <c r="H72" s="10">
        <v>44185</v>
      </c>
      <c r="I72" s="5" t="s">
        <v>2686</v>
      </c>
      <c r="J72" s="4">
        <v>212512.52</v>
      </c>
      <c r="K72" s="4">
        <v>212473</v>
      </c>
      <c r="L72" s="4">
        <v>212513</v>
      </c>
      <c r="M72" s="4">
        <v>212513</v>
      </c>
      <c r="N72" s="4">
        <v>0</v>
      </c>
      <c r="O72" s="4">
        <v>40</v>
      </c>
      <c r="P72" s="4">
        <v>0</v>
      </c>
      <c r="Q72" s="24">
        <v>40</v>
      </c>
      <c r="R72" s="4">
        <v>0</v>
      </c>
      <c r="S72" s="4">
        <v>0</v>
      </c>
      <c r="T72" s="4">
        <v>0</v>
      </c>
      <c r="U72" s="24">
        <v>0</v>
      </c>
      <c r="V72" s="4">
        <v>735</v>
      </c>
      <c r="W72" s="4">
        <v>0</v>
      </c>
      <c r="X72" s="2"/>
      <c r="Y72" s="5" t="s">
        <v>3</v>
      </c>
      <c r="Z72" s="5" t="s">
        <v>2617</v>
      </c>
      <c r="AA72" s="5" t="s">
        <v>928</v>
      </c>
      <c r="AB72" s="16" t="s">
        <v>3</v>
      </c>
    </row>
    <row r="73" spans="2:28" x14ac:dyDescent="0.25">
      <c r="B73" s="18" t="s">
        <v>2648</v>
      </c>
      <c r="C73" s="44" t="s">
        <v>2353</v>
      </c>
      <c r="D73" s="20" t="s">
        <v>3460</v>
      </c>
      <c r="E73" s="51" t="s">
        <v>3</v>
      </c>
      <c r="F73" s="10">
        <v>44068</v>
      </c>
      <c r="G73" s="5" t="s">
        <v>4395</v>
      </c>
      <c r="H73" s="10">
        <v>44185</v>
      </c>
      <c r="I73" s="5" t="s">
        <v>2686</v>
      </c>
      <c r="J73" s="4">
        <v>106250</v>
      </c>
      <c r="K73" s="4">
        <v>106231</v>
      </c>
      <c r="L73" s="4">
        <v>106250</v>
      </c>
      <c r="M73" s="4">
        <v>106250</v>
      </c>
      <c r="N73" s="4">
        <v>0</v>
      </c>
      <c r="O73" s="4">
        <v>19</v>
      </c>
      <c r="P73" s="4">
        <v>0</v>
      </c>
      <c r="Q73" s="24">
        <v>19</v>
      </c>
      <c r="R73" s="4">
        <v>0</v>
      </c>
      <c r="S73" s="4">
        <v>0</v>
      </c>
      <c r="T73" s="4">
        <v>0</v>
      </c>
      <c r="U73" s="24">
        <v>0</v>
      </c>
      <c r="V73" s="4">
        <v>651</v>
      </c>
      <c r="W73" s="4">
        <v>0</v>
      </c>
      <c r="X73" s="2"/>
      <c r="Y73" s="5" t="s">
        <v>3</v>
      </c>
      <c r="Z73" s="5" t="s">
        <v>2617</v>
      </c>
      <c r="AA73" s="5" t="s">
        <v>928</v>
      </c>
      <c r="AB73" s="16" t="s">
        <v>3</v>
      </c>
    </row>
    <row r="74" spans="2:28" x14ac:dyDescent="0.25">
      <c r="B74" s="18" t="s">
        <v>4120</v>
      </c>
      <c r="C74" s="44" t="s">
        <v>455</v>
      </c>
      <c r="D74" s="20" t="s">
        <v>2354</v>
      </c>
      <c r="E74" s="51" t="s">
        <v>3</v>
      </c>
      <c r="F74" s="10">
        <v>43873</v>
      </c>
      <c r="G74" s="5" t="s">
        <v>2994</v>
      </c>
      <c r="H74" s="10">
        <v>43963</v>
      </c>
      <c r="I74" s="5" t="s">
        <v>2194</v>
      </c>
      <c r="J74" s="4">
        <v>284290.3</v>
      </c>
      <c r="K74" s="4">
        <v>294891</v>
      </c>
      <c r="L74" s="4">
        <v>284290</v>
      </c>
      <c r="M74" s="4">
        <v>284290</v>
      </c>
      <c r="N74" s="4">
        <v>0</v>
      </c>
      <c r="O74" s="4">
        <v>-10601</v>
      </c>
      <c r="P74" s="4">
        <v>0</v>
      </c>
      <c r="Q74" s="24">
        <v>-10601</v>
      </c>
      <c r="R74" s="4">
        <v>0</v>
      </c>
      <c r="S74" s="4">
        <v>0</v>
      </c>
      <c r="T74" s="4">
        <v>0</v>
      </c>
      <c r="U74" s="24">
        <v>0</v>
      </c>
      <c r="V74" s="4">
        <v>3831</v>
      </c>
      <c r="W74" s="4">
        <v>2043</v>
      </c>
      <c r="X74" s="2"/>
      <c r="Y74" s="5" t="s">
        <v>3</v>
      </c>
      <c r="Z74" s="5" t="s">
        <v>3728</v>
      </c>
      <c r="AA74" s="5" t="s">
        <v>3728</v>
      </c>
      <c r="AB74" s="16" t="s">
        <v>3</v>
      </c>
    </row>
    <row r="75" spans="2:28" x14ac:dyDescent="0.25">
      <c r="B75" s="18" t="s">
        <v>811</v>
      </c>
      <c r="C75" s="44" t="s">
        <v>4382</v>
      </c>
      <c r="D75" s="20" t="s">
        <v>1280</v>
      </c>
      <c r="E75" s="51" t="s">
        <v>1157</v>
      </c>
      <c r="F75" s="10">
        <v>44075</v>
      </c>
      <c r="G75" s="5" t="s">
        <v>4394</v>
      </c>
      <c r="H75" s="10">
        <v>44190</v>
      </c>
      <c r="I75" s="5" t="s">
        <v>2686</v>
      </c>
      <c r="J75" s="4">
        <v>318750</v>
      </c>
      <c r="K75" s="4">
        <v>318678</v>
      </c>
      <c r="L75" s="4">
        <v>318750</v>
      </c>
      <c r="M75" s="4">
        <v>318750</v>
      </c>
      <c r="N75" s="4">
        <v>0</v>
      </c>
      <c r="O75" s="4">
        <v>72</v>
      </c>
      <c r="P75" s="4">
        <v>0</v>
      </c>
      <c r="Q75" s="24">
        <v>72</v>
      </c>
      <c r="R75" s="4">
        <v>0</v>
      </c>
      <c r="S75" s="4">
        <v>0</v>
      </c>
      <c r="T75" s="4">
        <v>0</v>
      </c>
      <c r="U75" s="24">
        <v>0</v>
      </c>
      <c r="V75" s="4">
        <v>1494</v>
      </c>
      <c r="W75" s="4">
        <v>0</v>
      </c>
      <c r="X75" s="2"/>
      <c r="Y75" s="5" t="s">
        <v>3</v>
      </c>
      <c r="Z75" s="5" t="s">
        <v>801</v>
      </c>
      <c r="AA75" s="5" t="s">
        <v>928</v>
      </c>
      <c r="AB75" s="16" t="s">
        <v>3</v>
      </c>
    </row>
    <row r="76" spans="2:28" x14ac:dyDescent="0.25">
      <c r="B76" s="18" t="s">
        <v>1912</v>
      </c>
      <c r="C76" s="44" t="s">
        <v>2165</v>
      </c>
      <c r="D76" s="20" t="s">
        <v>4107</v>
      </c>
      <c r="E76" s="51" t="s">
        <v>1157</v>
      </c>
      <c r="F76" s="10">
        <v>44076</v>
      </c>
      <c r="G76" s="5" t="s">
        <v>4395</v>
      </c>
      <c r="H76" s="10">
        <v>44182</v>
      </c>
      <c r="I76" s="5" t="s">
        <v>2686</v>
      </c>
      <c r="J76" s="4">
        <v>130530.17</v>
      </c>
      <c r="K76" s="4">
        <v>130524</v>
      </c>
      <c r="L76" s="4">
        <v>130530</v>
      </c>
      <c r="M76" s="4">
        <v>130530</v>
      </c>
      <c r="N76" s="4">
        <v>0</v>
      </c>
      <c r="O76" s="4">
        <v>6</v>
      </c>
      <c r="P76" s="4">
        <v>0</v>
      </c>
      <c r="Q76" s="24">
        <v>6</v>
      </c>
      <c r="R76" s="4">
        <v>0</v>
      </c>
      <c r="S76" s="4">
        <v>0</v>
      </c>
      <c r="T76" s="4">
        <v>0</v>
      </c>
      <c r="U76" s="24">
        <v>0</v>
      </c>
      <c r="V76" s="4">
        <v>522</v>
      </c>
      <c r="W76" s="4">
        <v>0</v>
      </c>
      <c r="X76" s="2"/>
      <c r="Y76" s="5" t="s">
        <v>3</v>
      </c>
      <c r="Z76" s="5" t="s">
        <v>4384</v>
      </c>
      <c r="AA76" s="5" t="s">
        <v>928</v>
      </c>
      <c r="AB76" s="16" t="s">
        <v>3</v>
      </c>
    </row>
    <row r="77" spans="2:28" x14ac:dyDescent="0.25">
      <c r="B77" s="18" t="s">
        <v>3767</v>
      </c>
      <c r="C77" s="44" t="s">
        <v>1284</v>
      </c>
      <c r="D77" s="20" t="s">
        <v>4097</v>
      </c>
      <c r="E77" s="51" t="s">
        <v>1157</v>
      </c>
      <c r="F77" s="10">
        <v>44082</v>
      </c>
      <c r="G77" s="5" t="s">
        <v>4394</v>
      </c>
      <c r="H77" s="10">
        <v>44185</v>
      </c>
      <c r="I77" s="5" t="s">
        <v>2686</v>
      </c>
      <c r="J77" s="4">
        <v>232774.43</v>
      </c>
      <c r="K77" s="4">
        <v>232705</v>
      </c>
      <c r="L77" s="4">
        <v>232774</v>
      </c>
      <c r="M77" s="4">
        <v>232774</v>
      </c>
      <c r="N77" s="4">
        <v>0</v>
      </c>
      <c r="O77" s="4">
        <v>69</v>
      </c>
      <c r="P77" s="4">
        <v>0</v>
      </c>
      <c r="Q77" s="24">
        <v>69</v>
      </c>
      <c r="R77" s="4">
        <v>0</v>
      </c>
      <c r="S77" s="4">
        <v>0</v>
      </c>
      <c r="T77" s="4">
        <v>0</v>
      </c>
      <c r="U77" s="24">
        <v>0</v>
      </c>
      <c r="V77" s="4">
        <v>806</v>
      </c>
      <c r="W77" s="4">
        <v>0</v>
      </c>
      <c r="X77" s="2"/>
      <c r="Y77" s="5" t="s">
        <v>3</v>
      </c>
      <c r="Z77" s="5" t="s">
        <v>2616</v>
      </c>
      <c r="AA77" s="5" t="s">
        <v>928</v>
      </c>
      <c r="AB77" s="16" t="s">
        <v>3</v>
      </c>
    </row>
    <row r="78" spans="2:28" x14ac:dyDescent="0.25">
      <c r="B78" s="7" t="s">
        <v>2713</v>
      </c>
      <c r="C78" s="1" t="s">
        <v>2713</v>
      </c>
      <c r="D78" s="8" t="s">
        <v>2713</v>
      </c>
      <c r="E78" s="1" t="s">
        <v>2713</v>
      </c>
      <c r="F78" s="1" t="s">
        <v>2713</v>
      </c>
      <c r="G78" s="1" t="s">
        <v>2713</v>
      </c>
      <c r="H78" s="1" t="s">
        <v>2713</v>
      </c>
      <c r="I78" s="1" t="s">
        <v>2713</v>
      </c>
      <c r="J78" s="1" t="s">
        <v>2713</v>
      </c>
      <c r="K78" s="1" t="s">
        <v>2713</v>
      </c>
      <c r="L78" s="1" t="s">
        <v>2713</v>
      </c>
      <c r="M78" s="1" t="s">
        <v>2713</v>
      </c>
      <c r="N78" s="1" t="s">
        <v>2713</v>
      </c>
      <c r="O78" s="1" t="s">
        <v>2713</v>
      </c>
      <c r="P78" s="1" t="s">
        <v>2713</v>
      </c>
      <c r="Q78" s="1" t="s">
        <v>2713</v>
      </c>
      <c r="R78" s="1" t="s">
        <v>2713</v>
      </c>
      <c r="S78" s="1" t="s">
        <v>2713</v>
      </c>
      <c r="T78" s="1" t="s">
        <v>2713</v>
      </c>
      <c r="U78" s="1" t="s">
        <v>2713</v>
      </c>
      <c r="V78" s="1" t="s">
        <v>2713</v>
      </c>
      <c r="W78" s="1" t="s">
        <v>2713</v>
      </c>
      <c r="X78" s="1" t="s">
        <v>2713</v>
      </c>
      <c r="Y78" s="1" t="s">
        <v>2713</v>
      </c>
      <c r="Z78" s="1" t="s">
        <v>2713</v>
      </c>
      <c r="AA78" s="1" t="s">
        <v>2713</v>
      </c>
      <c r="AB78" s="1" t="s">
        <v>2713</v>
      </c>
    </row>
    <row r="79" spans="2:28" ht="41.4" x14ac:dyDescent="0.25">
      <c r="B79" s="21" t="s">
        <v>1542</v>
      </c>
      <c r="C79" s="19" t="s">
        <v>519</v>
      </c>
      <c r="D79" s="17"/>
      <c r="E79" s="2"/>
      <c r="F79" s="2"/>
      <c r="G79" s="2"/>
      <c r="H79" s="2"/>
      <c r="I79" s="2"/>
      <c r="J79" s="3">
        <f>SUM('GMIC_2020-Annu_SCDPT5'!SCDPT5_38BEGIN_8:'GMIC_2020-Annu_SCDPT5'!SCDPT5_38ENDIN_8)</f>
        <v>84462775.170000002</v>
      </c>
      <c r="K79" s="3">
        <f>SUM('GMIC_2020-Annu_SCDPT5'!SCDPT5_38BEGIN_9:'GMIC_2020-Annu_SCDPT5'!SCDPT5_38ENDIN_9)</f>
        <v>84971726</v>
      </c>
      <c r="L79" s="3">
        <f>SUM('GMIC_2020-Annu_SCDPT5'!SCDPT5_38BEGIN_10:'GMIC_2020-Annu_SCDPT5'!SCDPT5_38ENDIN_10)</f>
        <v>85063134</v>
      </c>
      <c r="M79" s="3">
        <f>SUM('GMIC_2020-Annu_SCDPT5'!SCDPT5_38BEGIN_11:'GMIC_2020-Annu_SCDPT5'!SCDPT5_38ENDIN_11)</f>
        <v>85218732</v>
      </c>
      <c r="N79" s="3">
        <f>SUM('GMIC_2020-Annu_SCDPT5'!SCDPT5_38BEGIN_12:'GMIC_2020-Annu_SCDPT5'!SCDPT5_38ENDIN_12)</f>
        <v>0</v>
      </c>
      <c r="O79" s="3">
        <f>SUM('GMIC_2020-Annu_SCDPT5'!SCDPT5_38BEGIN_13:'GMIC_2020-Annu_SCDPT5'!SCDPT5_38ENDIN_13)</f>
        <v>-207325.8</v>
      </c>
      <c r="P79" s="3">
        <f>SUM('GMIC_2020-Annu_SCDPT5'!SCDPT5_38BEGIN_14:'GMIC_2020-Annu_SCDPT5'!SCDPT5_38ENDIN_14)</f>
        <v>0</v>
      </c>
      <c r="Q79" s="3">
        <f>SUM('GMIC_2020-Annu_SCDPT5'!SCDPT5_38BEGIN_15:'GMIC_2020-Annu_SCDPT5'!SCDPT5_38ENDIN_15)</f>
        <v>-207325.8</v>
      </c>
      <c r="R79" s="3">
        <f>SUM('GMIC_2020-Annu_SCDPT5'!SCDPT5_38BEGIN_16:'GMIC_2020-Annu_SCDPT5'!SCDPT5_38ENDIN_16)</f>
        <v>0</v>
      </c>
      <c r="S79" s="3">
        <f>SUM('GMIC_2020-Annu_SCDPT5'!SCDPT5_38BEGIN_17:'GMIC_2020-Annu_SCDPT5'!SCDPT5_38ENDIN_17)</f>
        <v>0</v>
      </c>
      <c r="T79" s="3">
        <f>SUM('GMIC_2020-Annu_SCDPT5'!SCDPT5_38BEGIN_18:'GMIC_2020-Annu_SCDPT5'!SCDPT5_38ENDIN_18)</f>
        <v>-155598</v>
      </c>
      <c r="U79" s="3">
        <f>SUM('GMIC_2020-Annu_SCDPT5'!SCDPT5_38BEGIN_19:'GMIC_2020-Annu_SCDPT5'!SCDPT5_38ENDIN_19)</f>
        <v>-155598</v>
      </c>
      <c r="V79" s="3">
        <f>SUM('GMIC_2020-Annu_SCDPT5'!SCDPT5_38BEGIN_20:'GMIC_2020-Annu_SCDPT5'!SCDPT5_38ENDIN_20)</f>
        <v>1510026.8</v>
      </c>
      <c r="W79" s="3">
        <f>SUM('GMIC_2020-Annu_SCDPT5'!SCDPT5_38BEGIN_21:'GMIC_2020-Annu_SCDPT5'!SCDPT5_38ENDIN_21)</f>
        <v>323931</v>
      </c>
      <c r="X79" s="2"/>
      <c r="Y79" s="2"/>
      <c r="Z79" s="2"/>
      <c r="AA79" s="2"/>
      <c r="AB79" s="2"/>
    </row>
    <row r="80" spans="2:28" x14ac:dyDescent="0.25">
      <c r="B80" s="7" t="s">
        <v>2713</v>
      </c>
      <c r="C80" s="1" t="s">
        <v>2713</v>
      </c>
      <c r="D80" s="8" t="s">
        <v>2713</v>
      </c>
      <c r="E80" s="1" t="s">
        <v>2713</v>
      </c>
      <c r="F80" s="1" t="s">
        <v>2713</v>
      </c>
      <c r="G80" s="1" t="s">
        <v>2713</v>
      </c>
      <c r="H80" s="1" t="s">
        <v>2713</v>
      </c>
      <c r="I80" s="1" t="s">
        <v>2713</v>
      </c>
      <c r="J80" s="1" t="s">
        <v>2713</v>
      </c>
      <c r="K80" s="1" t="s">
        <v>2713</v>
      </c>
      <c r="L80" s="1" t="s">
        <v>2713</v>
      </c>
      <c r="M80" s="1" t="s">
        <v>2713</v>
      </c>
      <c r="N80" s="1" t="s">
        <v>2713</v>
      </c>
      <c r="O80" s="1" t="s">
        <v>2713</v>
      </c>
      <c r="P80" s="1" t="s">
        <v>2713</v>
      </c>
      <c r="Q80" s="1" t="s">
        <v>2713</v>
      </c>
      <c r="R80" s="1" t="s">
        <v>2713</v>
      </c>
      <c r="S80" s="1" t="s">
        <v>2713</v>
      </c>
      <c r="T80" s="1" t="s">
        <v>2713</v>
      </c>
      <c r="U80" s="1" t="s">
        <v>2713</v>
      </c>
      <c r="V80" s="1" t="s">
        <v>2713</v>
      </c>
      <c r="W80" s="1" t="s">
        <v>2713</v>
      </c>
      <c r="X80" s="1" t="s">
        <v>2713</v>
      </c>
      <c r="Y80" s="1" t="s">
        <v>2713</v>
      </c>
      <c r="Z80" s="1" t="s">
        <v>2713</v>
      </c>
      <c r="AA80" s="1" t="s">
        <v>2713</v>
      </c>
      <c r="AB80" s="1" t="s">
        <v>2713</v>
      </c>
    </row>
    <row r="81" spans="2:28" x14ac:dyDescent="0.25">
      <c r="B81" s="18" t="s">
        <v>3029</v>
      </c>
      <c r="C81" s="25" t="s">
        <v>3846</v>
      </c>
      <c r="D81" s="20" t="s">
        <v>3</v>
      </c>
      <c r="E81" s="22" t="s">
        <v>3</v>
      </c>
      <c r="F81" s="6"/>
      <c r="G81" s="5" t="s">
        <v>3</v>
      </c>
      <c r="H81" s="6"/>
      <c r="I81" s="5" t="s">
        <v>3</v>
      </c>
      <c r="J81" s="4"/>
      <c r="K81" s="4"/>
      <c r="L81" s="4"/>
      <c r="M81" s="4"/>
      <c r="N81" s="4"/>
      <c r="O81" s="4"/>
      <c r="P81" s="4"/>
      <c r="Q81" s="24"/>
      <c r="R81" s="4"/>
      <c r="S81" s="4"/>
      <c r="T81" s="4"/>
      <c r="U81" s="24"/>
      <c r="V81" s="4"/>
      <c r="W81" s="4"/>
      <c r="X81" s="2"/>
      <c r="Y81" s="5" t="s">
        <v>3</v>
      </c>
      <c r="Z81" s="5" t="s">
        <v>3</v>
      </c>
      <c r="AA81" s="5" t="s">
        <v>3</v>
      </c>
      <c r="AB81" s="16" t="s">
        <v>3</v>
      </c>
    </row>
    <row r="82" spans="2:28" x14ac:dyDescent="0.25">
      <c r="B82" s="7" t="s">
        <v>2713</v>
      </c>
      <c r="C82" s="1" t="s">
        <v>2713</v>
      </c>
      <c r="D82" s="8" t="s">
        <v>2713</v>
      </c>
      <c r="E82" s="1" t="s">
        <v>2713</v>
      </c>
      <c r="F82" s="1" t="s">
        <v>2713</v>
      </c>
      <c r="G82" s="1" t="s">
        <v>2713</v>
      </c>
      <c r="H82" s="1" t="s">
        <v>2713</v>
      </c>
      <c r="I82" s="1" t="s">
        <v>2713</v>
      </c>
      <c r="J82" s="1" t="s">
        <v>2713</v>
      </c>
      <c r="K82" s="1" t="s">
        <v>2713</v>
      </c>
      <c r="L82" s="1" t="s">
        <v>2713</v>
      </c>
      <c r="M82" s="1" t="s">
        <v>2713</v>
      </c>
      <c r="N82" s="1" t="s">
        <v>2713</v>
      </c>
      <c r="O82" s="1" t="s">
        <v>2713</v>
      </c>
      <c r="P82" s="1" t="s">
        <v>2713</v>
      </c>
      <c r="Q82" s="1" t="s">
        <v>2713</v>
      </c>
      <c r="R82" s="1" t="s">
        <v>2713</v>
      </c>
      <c r="S82" s="1" t="s">
        <v>2713</v>
      </c>
      <c r="T82" s="1" t="s">
        <v>2713</v>
      </c>
      <c r="U82" s="1" t="s">
        <v>2713</v>
      </c>
      <c r="V82" s="1" t="s">
        <v>2713</v>
      </c>
      <c r="W82" s="1" t="s">
        <v>2713</v>
      </c>
      <c r="X82" s="1" t="s">
        <v>2713</v>
      </c>
      <c r="Y82" s="1" t="s">
        <v>2713</v>
      </c>
      <c r="Z82" s="1" t="s">
        <v>2713</v>
      </c>
      <c r="AA82" s="1" t="s">
        <v>2713</v>
      </c>
      <c r="AB82" s="1" t="s">
        <v>2713</v>
      </c>
    </row>
    <row r="83" spans="2:28" ht="27.6" x14ac:dyDescent="0.25">
      <c r="B83" s="21" t="s">
        <v>4386</v>
      </c>
      <c r="C83" s="19" t="s">
        <v>520</v>
      </c>
      <c r="D83" s="17"/>
      <c r="E83" s="2"/>
      <c r="F83" s="2"/>
      <c r="G83" s="2"/>
      <c r="H83" s="2"/>
      <c r="I83" s="2"/>
      <c r="J83" s="3">
        <f>SUM('GMIC_2020-Annu_SCDPT5'!SCDPT5_48BEGIN_8:'GMIC_2020-Annu_SCDPT5'!SCDPT5_48ENDIN_8)</f>
        <v>0</v>
      </c>
      <c r="K83" s="3">
        <f>SUM('GMIC_2020-Annu_SCDPT5'!SCDPT5_48BEGIN_9:'GMIC_2020-Annu_SCDPT5'!SCDPT5_48ENDIN_9)</f>
        <v>0</v>
      </c>
      <c r="L83" s="3">
        <f>SUM('GMIC_2020-Annu_SCDPT5'!SCDPT5_48BEGIN_10:'GMIC_2020-Annu_SCDPT5'!SCDPT5_48ENDIN_10)</f>
        <v>0</v>
      </c>
      <c r="M83" s="3">
        <f>SUM('GMIC_2020-Annu_SCDPT5'!SCDPT5_48BEGIN_11:'GMIC_2020-Annu_SCDPT5'!SCDPT5_48ENDIN_11)</f>
        <v>0</v>
      </c>
      <c r="N83" s="3">
        <f>SUM('GMIC_2020-Annu_SCDPT5'!SCDPT5_48BEGIN_12:'GMIC_2020-Annu_SCDPT5'!SCDPT5_48ENDIN_12)</f>
        <v>0</v>
      </c>
      <c r="O83" s="3">
        <f>SUM('GMIC_2020-Annu_SCDPT5'!SCDPT5_48BEGIN_13:'GMIC_2020-Annu_SCDPT5'!SCDPT5_48ENDIN_13)</f>
        <v>0</v>
      </c>
      <c r="P83" s="3">
        <f>SUM('GMIC_2020-Annu_SCDPT5'!SCDPT5_48BEGIN_14:'GMIC_2020-Annu_SCDPT5'!SCDPT5_48ENDIN_14)</f>
        <v>0</v>
      </c>
      <c r="Q83" s="3">
        <f>SUM('GMIC_2020-Annu_SCDPT5'!SCDPT5_48BEGIN_15:'GMIC_2020-Annu_SCDPT5'!SCDPT5_48ENDIN_15)</f>
        <v>0</v>
      </c>
      <c r="R83" s="3">
        <f>SUM('GMIC_2020-Annu_SCDPT5'!SCDPT5_48BEGIN_16:'GMIC_2020-Annu_SCDPT5'!SCDPT5_48ENDIN_16)</f>
        <v>0</v>
      </c>
      <c r="S83" s="3">
        <f>SUM('GMIC_2020-Annu_SCDPT5'!SCDPT5_48BEGIN_17:'GMIC_2020-Annu_SCDPT5'!SCDPT5_48ENDIN_17)</f>
        <v>0</v>
      </c>
      <c r="T83" s="3">
        <f>SUM('GMIC_2020-Annu_SCDPT5'!SCDPT5_48BEGIN_18:'GMIC_2020-Annu_SCDPT5'!SCDPT5_48ENDIN_18)</f>
        <v>0</v>
      </c>
      <c r="U83" s="3">
        <f>SUM('GMIC_2020-Annu_SCDPT5'!SCDPT5_48BEGIN_19:'GMIC_2020-Annu_SCDPT5'!SCDPT5_48ENDIN_19)</f>
        <v>0</v>
      </c>
      <c r="V83" s="3">
        <f>SUM('GMIC_2020-Annu_SCDPT5'!SCDPT5_48BEGIN_20:'GMIC_2020-Annu_SCDPT5'!SCDPT5_48ENDIN_20)</f>
        <v>0</v>
      </c>
      <c r="W83" s="3">
        <f>SUM('GMIC_2020-Annu_SCDPT5'!SCDPT5_48BEGIN_21:'GMIC_2020-Annu_SCDPT5'!SCDPT5_48ENDIN_21)</f>
        <v>0</v>
      </c>
      <c r="X83" s="2"/>
      <c r="Y83" s="2"/>
      <c r="Z83" s="2"/>
      <c r="AA83" s="2"/>
      <c r="AB83" s="2"/>
    </row>
    <row r="84" spans="2:28" x14ac:dyDescent="0.25">
      <c r="B84" s="7" t="s">
        <v>2713</v>
      </c>
      <c r="C84" s="1" t="s">
        <v>2713</v>
      </c>
      <c r="D84" s="8" t="s">
        <v>2713</v>
      </c>
      <c r="E84" s="1" t="s">
        <v>2713</v>
      </c>
      <c r="F84" s="1" t="s">
        <v>2713</v>
      </c>
      <c r="G84" s="1" t="s">
        <v>2713</v>
      </c>
      <c r="H84" s="1" t="s">
        <v>2713</v>
      </c>
      <c r="I84" s="1" t="s">
        <v>2713</v>
      </c>
      <c r="J84" s="1" t="s">
        <v>2713</v>
      </c>
      <c r="K84" s="1" t="s">
        <v>2713</v>
      </c>
      <c r="L84" s="1" t="s">
        <v>2713</v>
      </c>
      <c r="M84" s="1" t="s">
        <v>2713</v>
      </c>
      <c r="N84" s="1" t="s">
        <v>2713</v>
      </c>
      <c r="O84" s="1" t="s">
        <v>2713</v>
      </c>
      <c r="P84" s="1" t="s">
        <v>2713</v>
      </c>
      <c r="Q84" s="1" t="s">
        <v>2713</v>
      </c>
      <c r="R84" s="1" t="s">
        <v>2713</v>
      </c>
      <c r="S84" s="1" t="s">
        <v>2713</v>
      </c>
      <c r="T84" s="1" t="s">
        <v>2713</v>
      </c>
      <c r="U84" s="1" t="s">
        <v>2713</v>
      </c>
      <c r="V84" s="1" t="s">
        <v>2713</v>
      </c>
      <c r="W84" s="1" t="s">
        <v>2713</v>
      </c>
      <c r="X84" s="1" t="s">
        <v>2713</v>
      </c>
      <c r="Y84" s="1" t="s">
        <v>2713</v>
      </c>
      <c r="Z84" s="1" t="s">
        <v>2713</v>
      </c>
      <c r="AA84" s="1" t="s">
        <v>2713</v>
      </c>
      <c r="AB84" s="1" t="s">
        <v>2713</v>
      </c>
    </row>
    <row r="85" spans="2:28" x14ac:dyDescent="0.25">
      <c r="B85" s="18" t="s">
        <v>3495</v>
      </c>
      <c r="C85" s="25" t="s">
        <v>3846</v>
      </c>
      <c r="D85" s="20" t="s">
        <v>3</v>
      </c>
      <c r="E85" s="22" t="s">
        <v>3</v>
      </c>
      <c r="F85" s="6"/>
      <c r="G85" s="5" t="s">
        <v>3</v>
      </c>
      <c r="H85" s="6"/>
      <c r="I85" s="5" t="s">
        <v>3</v>
      </c>
      <c r="J85" s="4"/>
      <c r="K85" s="4"/>
      <c r="L85" s="4"/>
      <c r="M85" s="4"/>
      <c r="N85" s="4"/>
      <c r="O85" s="4"/>
      <c r="P85" s="4"/>
      <c r="Q85" s="24"/>
      <c r="R85" s="4"/>
      <c r="S85" s="4"/>
      <c r="T85" s="4"/>
      <c r="U85" s="24"/>
      <c r="V85" s="4"/>
      <c r="W85" s="4"/>
      <c r="X85" s="2"/>
      <c r="Y85" s="5" t="s">
        <v>3</v>
      </c>
      <c r="Z85" s="5" t="s">
        <v>3</v>
      </c>
      <c r="AA85" s="5" t="s">
        <v>3</v>
      </c>
      <c r="AB85" s="16" t="s">
        <v>3</v>
      </c>
    </row>
    <row r="86" spans="2:28" x14ac:dyDescent="0.25">
      <c r="B86" s="7" t="s">
        <v>2713</v>
      </c>
      <c r="C86" s="1" t="s">
        <v>2713</v>
      </c>
      <c r="D86" s="8" t="s">
        <v>2713</v>
      </c>
      <c r="E86" s="1" t="s">
        <v>2713</v>
      </c>
      <c r="F86" s="1" t="s">
        <v>2713</v>
      </c>
      <c r="G86" s="1" t="s">
        <v>2713</v>
      </c>
      <c r="H86" s="1" t="s">
        <v>2713</v>
      </c>
      <c r="I86" s="1" t="s">
        <v>2713</v>
      </c>
      <c r="J86" s="1" t="s">
        <v>2713</v>
      </c>
      <c r="K86" s="1" t="s">
        <v>2713</v>
      </c>
      <c r="L86" s="1" t="s">
        <v>2713</v>
      </c>
      <c r="M86" s="1" t="s">
        <v>2713</v>
      </c>
      <c r="N86" s="1" t="s">
        <v>2713</v>
      </c>
      <c r="O86" s="1" t="s">
        <v>2713</v>
      </c>
      <c r="P86" s="1" t="s">
        <v>2713</v>
      </c>
      <c r="Q86" s="1" t="s">
        <v>2713</v>
      </c>
      <c r="R86" s="1" t="s">
        <v>2713</v>
      </c>
      <c r="S86" s="1" t="s">
        <v>2713</v>
      </c>
      <c r="T86" s="1" t="s">
        <v>2713</v>
      </c>
      <c r="U86" s="1" t="s">
        <v>2713</v>
      </c>
      <c r="V86" s="1" t="s">
        <v>2713</v>
      </c>
      <c r="W86" s="1" t="s">
        <v>2713</v>
      </c>
      <c r="X86" s="1" t="s">
        <v>2713</v>
      </c>
      <c r="Y86" s="1" t="s">
        <v>2713</v>
      </c>
      <c r="Z86" s="1" t="s">
        <v>2713</v>
      </c>
      <c r="AA86" s="1" t="s">
        <v>2713</v>
      </c>
      <c r="AB86" s="1" t="s">
        <v>2713</v>
      </c>
    </row>
    <row r="87" spans="2:28" ht="27.6" x14ac:dyDescent="0.25">
      <c r="B87" s="21" t="s">
        <v>470</v>
      </c>
      <c r="C87" s="19" t="s">
        <v>1110</v>
      </c>
      <c r="D87" s="17"/>
      <c r="E87" s="2"/>
      <c r="F87" s="2"/>
      <c r="G87" s="2"/>
      <c r="H87" s="2"/>
      <c r="I87" s="2"/>
      <c r="J87" s="3">
        <f>SUM('GMIC_2020-Annu_SCDPT5'!SCDPT5_55BEGIN_8:'GMIC_2020-Annu_SCDPT5'!SCDPT5_55ENDIN_8)</f>
        <v>0</v>
      </c>
      <c r="K87" s="3">
        <f>SUM('GMIC_2020-Annu_SCDPT5'!SCDPT5_55BEGIN_9:'GMIC_2020-Annu_SCDPT5'!SCDPT5_55ENDIN_9)</f>
        <v>0</v>
      </c>
      <c r="L87" s="3">
        <f>SUM('GMIC_2020-Annu_SCDPT5'!SCDPT5_55BEGIN_10:'GMIC_2020-Annu_SCDPT5'!SCDPT5_55ENDIN_10)</f>
        <v>0</v>
      </c>
      <c r="M87" s="3">
        <f>SUM('GMIC_2020-Annu_SCDPT5'!SCDPT5_55BEGIN_11:'GMIC_2020-Annu_SCDPT5'!SCDPT5_55ENDIN_11)</f>
        <v>0</v>
      </c>
      <c r="N87" s="3">
        <f>SUM('GMIC_2020-Annu_SCDPT5'!SCDPT5_55BEGIN_12:'GMIC_2020-Annu_SCDPT5'!SCDPT5_55ENDIN_12)</f>
        <v>0</v>
      </c>
      <c r="O87" s="3">
        <f>SUM('GMIC_2020-Annu_SCDPT5'!SCDPT5_55BEGIN_13:'GMIC_2020-Annu_SCDPT5'!SCDPT5_55ENDIN_13)</f>
        <v>0</v>
      </c>
      <c r="P87" s="3">
        <f>SUM('GMIC_2020-Annu_SCDPT5'!SCDPT5_55BEGIN_14:'GMIC_2020-Annu_SCDPT5'!SCDPT5_55ENDIN_14)</f>
        <v>0</v>
      </c>
      <c r="Q87" s="3">
        <f>SUM('GMIC_2020-Annu_SCDPT5'!SCDPT5_55BEGIN_15:'GMIC_2020-Annu_SCDPT5'!SCDPT5_55ENDIN_15)</f>
        <v>0</v>
      </c>
      <c r="R87" s="3">
        <f>SUM('GMIC_2020-Annu_SCDPT5'!SCDPT5_55BEGIN_16:'GMIC_2020-Annu_SCDPT5'!SCDPT5_55ENDIN_16)</f>
        <v>0</v>
      </c>
      <c r="S87" s="3">
        <f>SUM('GMIC_2020-Annu_SCDPT5'!SCDPT5_55BEGIN_17:'GMIC_2020-Annu_SCDPT5'!SCDPT5_55ENDIN_17)</f>
        <v>0</v>
      </c>
      <c r="T87" s="3">
        <f>SUM('GMIC_2020-Annu_SCDPT5'!SCDPT5_55BEGIN_18:'GMIC_2020-Annu_SCDPT5'!SCDPT5_55ENDIN_18)</f>
        <v>0</v>
      </c>
      <c r="U87" s="3">
        <f>SUM('GMIC_2020-Annu_SCDPT5'!SCDPT5_55BEGIN_19:'GMIC_2020-Annu_SCDPT5'!SCDPT5_55ENDIN_19)</f>
        <v>0</v>
      </c>
      <c r="V87" s="3">
        <f>SUM('GMIC_2020-Annu_SCDPT5'!SCDPT5_55BEGIN_20:'GMIC_2020-Annu_SCDPT5'!SCDPT5_55ENDIN_20)</f>
        <v>0</v>
      </c>
      <c r="W87" s="3">
        <f>SUM('GMIC_2020-Annu_SCDPT5'!SCDPT5_55BEGIN_21:'GMIC_2020-Annu_SCDPT5'!SCDPT5_55ENDIN_21)</f>
        <v>0</v>
      </c>
      <c r="X87" s="2"/>
      <c r="Y87" s="2"/>
      <c r="Z87" s="2"/>
      <c r="AA87" s="2"/>
      <c r="AB87" s="2"/>
    </row>
    <row r="88" spans="2:28" x14ac:dyDescent="0.25">
      <c r="B88" s="7" t="s">
        <v>2713</v>
      </c>
      <c r="C88" s="1" t="s">
        <v>2713</v>
      </c>
      <c r="D88" s="8" t="s">
        <v>2713</v>
      </c>
      <c r="E88" s="1" t="s">
        <v>2713</v>
      </c>
      <c r="F88" s="1" t="s">
        <v>2713</v>
      </c>
      <c r="G88" s="1" t="s">
        <v>2713</v>
      </c>
      <c r="H88" s="1" t="s">
        <v>2713</v>
      </c>
      <c r="I88" s="1" t="s">
        <v>2713</v>
      </c>
      <c r="J88" s="1" t="s">
        <v>2713</v>
      </c>
      <c r="K88" s="1" t="s">
        <v>2713</v>
      </c>
      <c r="L88" s="1" t="s">
        <v>2713</v>
      </c>
      <c r="M88" s="1" t="s">
        <v>2713</v>
      </c>
      <c r="N88" s="1" t="s">
        <v>2713</v>
      </c>
      <c r="O88" s="1" t="s">
        <v>2713</v>
      </c>
      <c r="P88" s="1" t="s">
        <v>2713</v>
      </c>
      <c r="Q88" s="1" t="s">
        <v>2713</v>
      </c>
      <c r="R88" s="1" t="s">
        <v>2713</v>
      </c>
      <c r="S88" s="1" t="s">
        <v>2713</v>
      </c>
      <c r="T88" s="1" t="s">
        <v>2713</v>
      </c>
      <c r="U88" s="1" t="s">
        <v>2713</v>
      </c>
      <c r="V88" s="1" t="s">
        <v>2713</v>
      </c>
      <c r="W88" s="1" t="s">
        <v>2713</v>
      </c>
      <c r="X88" s="1" t="s">
        <v>2713</v>
      </c>
      <c r="Y88" s="1" t="s">
        <v>2713</v>
      </c>
      <c r="Z88" s="1" t="s">
        <v>2713</v>
      </c>
      <c r="AA88" s="1" t="s">
        <v>2713</v>
      </c>
      <c r="AB88" s="1" t="s">
        <v>2713</v>
      </c>
    </row>
    <row r="89" spans="2:28" x14ac:dyDescent="0.25">
      <c r="B89" s="18" t="s">
        <v>2184</v>
      </c>
      <c r="C89" s="25" t="s">
        <v>3846</v>
      </c>
      <c r="D89" s="20" t="s">
        <v>3</v>
      </c>
      <c r="E89" s="22" t="s">
        <v>3</v>
      </c>
      <c r="F89" s="6"/>
      <c r="G89" s="5" t="s">
        <v>3</v>
      </c>
      <c r="H89" s="6"/>
      <c r="I89" s="5" t="s">
        <v>3</v>
      </c>
      <c r="J89" s="28"/>
      <c r="K89" s="4"/>
      <c r="L89" s="4"/>
      <c r="M89" s="4"/>
      <c r="N89" s="4"/>
      <c r="O89" s="4"/>
      <c r="P89" s="4"/>
      <c r="Q89" s="24"/>
      <c r="R89" s="4"/>
      <c r="S89" s="4"/>
      <c r="T89" s="4"/>
      <c r="U89" s="24"/>
      <c r="V89" s="4"/>
      <c r="W89" s="4"/>
      <c r="X89" s="2"/>
      <c r="Y89" s="5" t="s">
        <v>3</v>
      </c>
      <c r="Z89" s="5" t="s">
        <v>3</v>
      </c>
      <c r="AA89" s="5" t="s">
        <v>3</v>
      </c>
      <c r="AB89" s="16" t="s">
        <v>3</v>
      </c>
    </row>
    <row r="90" spans="2:28" x14ac:dyDescent="0.25">
      <c r="B90" s="7" t="s">
        <v>2713</v>
      </c>
      <c r="C90" s="1" t="s">
        <v>2713</v>
      </c>
      <c r="D90" s="8" t="s">
        <v>2713</v>
      </c>
      <c r="E90" s="1" t="s">
        <v>2713</v>
      </c>
      <c r="F90" s="1" t="s">
        <v>2713</v>
      </c>
      <c r="G90" s="1" t="s">
        <v>2713</v>
      </c>
      <c r="H90" s="1" t="s">
        <v>2713</v>
      </c>
      <c r="I90" s="1" t="s">
        <v>2713</v>
      </c>
      <c r="J90" s="1" t="s">
        <v>2713</v>
      </c>
      <c r="K90" s="1" t="s">
        <v>2713</v>
      </c>
      <c r="L90" s="1" t="s">
        <v>2713</v>
      </c>
      <c r="M90" s="1" t="s">
        <v>2713</v>
      </c>
      <c r="N90" s="1" t="s">
        <v>2713</v>
      </c>
      <c r="O90" s="1" t="s">
        <v>2713</v>
      </c>
      <c r="P90" s="1" t="s">
        <v>2713</v>
      </c>
      <c r="Q90" s="1" t="s">
        <v>2713</v>
      </c>
      <c r="R90" s="1" t="s">
        <v>2713</v>
      </c>
      <c r="S90" s="1" t="s">
        <v>2713</v>
      </c>
      <c r="T90" s="1" t="s">
        <v>2713</v>
      </c>
      <c r="U90" s="1" t="s">
        <v>2713</v>
      </c>
      <c r="V90" s="1" t="s">
        <v>2713</v>
      </c>
      <c r="W90" s="1" t="s">
        <v>2713</v>
      </c>
      <c r="X90" s="1" t="s">
        <v>2713</v>
      </c>
      <c r="Y90" s="1" t="s">
        <v>2713</v>
      </c>
      <c r="Z90" s="1" t="s">
        <v>2713</v>
      </c>
      <c r="AA90" s="1" t="s">
        <v>2713</v>
      </c>
      <c r="AB90" s="1" t="s">
        <v>2713</v>
      </c>
    </row>
    <row r="91" spans="2:28" ht="27.6" x14ac:dyDescent="0.25">
      <c r="B91" s="21" t="s">
        <v>3471</v>
      </c>
      <c r="C91" s="19" t="s">
        <v>3798</v>
      </c>
      <c r="D91" s="17"/>
      <c r="E91" s="2"/>
      <c r="F91" s="2"/>
      <c r="G91" s="2"/>
      <c r="H91" s="2"/>
      <c r="I91" s="2"/>
      <c r="J91" s="2"/>
      <c r="K91" s="3">
        <f>SUM('GMIC_2020-Annu_SCDPT5'!SCDPT5_80BEGIN_9:'GMIC_2020-Annu_SCDPT5'!SCDPT5_80ENDIN_9)</f>
        <v>0</v>
      </c>
      <c r="L91" s="3">
        <f>SUM('GMIC_2020-Annu_SCDPT5'!SCDPT5_80BEGIN_10:'GMIC_2020-Annu_SCDPT5'!SCDPT5_80ENDIN_10)</f>
        <v>0</v>
      </c>
      <c r="M91" s="3">
        <f>SUM('GMIC_2020-Annu_SCDPT5'!SCDPT5_80BEGIN_11:'GMIC_2020-Annu_SCDPT5'!SCDPT5_80ENDIN_11)</f>
        <v>0</v>
      </c>
      <c r="N91" s="3">
        <f>SUM('GMIC_2020-Annu_SCDPT5'!SCDPT5_80BEGIN_12:'GMIC_2020-Annu_SCDPT5'!SCDPT5_80ENDIN_12)</f>
        <v>0</v>
      </c>
      <c r="O91" s="3">
        <f>SUM('GMIC_2020-Annu_SCDPT5'!SCDPT5_80BEGIN_13:'GMIC_2020-Annu_SCDPT5'!SCDPT5_80ENDIN_13)</f>
        <v>0</v>
      </c>
      <c r="P91" s="3">
        <f>SUM('GMIC_2020-Annu_SCDPT5'!SCDPT5_80BEGIN_14:'GMIC_2020-Annu_SCDPT5'!SCDPT5_80ENDIN_14)</f>
        <v>0</v>
      </c>
      <c r="Q91" s="3">
        <f>SUM('GMIC_2020-Annu_SCDPT5'!SCDPT5_80BEGIN_15:'GMIC_2020-Annu_SCDPT5'!SCDPT5_80ENDIN_15)</f>
        <v>0</v>
      </c>
      <c r="R91" s="3">
        <f>SUM('GMIC_2020-Annu_SCDPT5'!SCDPT5_80BEGIN_16:'GMIC_2020-Annu_SCDPT5'!SCDPT5_80ENDIN_16)</f>
        <v>0</v>
      </c>
      <c r="S91" s="3">
        <f>SUM('GMIC_2020-Annu_SCDPT5'!SCDPT5_80BEGIN_17:'GMIC_2020-Annu_SCDPT5'!SCDPT5_80ENDIN_17)</f>
        <v>0</v>
      </c>
      <c r="T91" s="3">
        <f>SUM('GMIC_2020-Annu_SCDPT5'!SCDPT5_80BEGIN_18:'GMIC_2020-Annu_SCDPT5'!SCDPT5_80ENDIN_18)</f>
        <v>0</v>
      </c>
      <c r="U91" s="3">
        <f>SUM('GMIC_2020-Annu_SCDPT5'!SCDPT5_80BEGIN_19:'GMIC_2020-Annu_SCDPT5'!SCDPT5_80ENDIN_19)</f>
        <v>0</v>
      </c>
      <c r="V91" s="3">
        <f>SUM('GMIC_2020-Annu_SCDPT5'!SCDPT5_80BEGIN_20:'GMIC_2020-Annu_SCDPT5'!SCDPT5_80ENDIN_20)</f>
        <v>0</v>
      </c>
      <c r="W91" s="3">
        <f>SUM('GMIC_2020-Annu_SCDPT5'!SCDPT5_80BEGIN_21:'GMIC_2020-Annu_SCDPT5'!SCDPT5_80ENDIN_21)</f>
        <v>0</v>
      </c>
      <c r="X91" s="2"/>
      <c r="Y91" s="2"/>
      <c r="Z91" s="2"/>
      <c r="AA91" s="2"/>
      <c r="AB91" s="2"/>
    </row>
    <row r="92" spans="2:28" x14ac:dyDescent="0.25">
      <c r="B92" s="7" t="s">
        <v>2713</v>
      </c>
      <c r="C92" s="1" t="s">
        <v>2713</v>
      </c>
      <c r="D92" s="8" t="s">
        <v>2713</v>
      </c>
      <c r="E92" s="1" t="s">
        <v>2713</v>
      </c>
      <c r="F92" s="1" t="s">
        <v>2713</v>
      </c>
      <c r="G92" s="1" t="s">
        <v>2713</v>
      </c>
      <c r="H92" s="1" t="s">
        <v>2713</v>
      </c>
      <c r="I92" s="1" t="s">
        <v>2713</v>
      </c>
      <c r="J92" s="1" t="s">
        <v>2713</v>
      </c>
      <c r="K92" s="1" t="s">
        <v>2713</v>
      </c>
      <c r="L92" s="1" t="s">
        <v>2713</v>
      </c>
      <c r="M92" s="1" t="s">
        <v>2713</v>
      </c>
      <c r="N92" s="1" t="s">
        <v>2713</v>
      </c>
      <c r="O92" s="1" t="s">
        <v>2713</v>
      </c>
      <c r="P92" s="1" t="s">
        <v>2713</v>
      </c>
      <c r="Q92" s="1" t="s">
        <v>2713</v>
      </c>
      <c r="R92" s="1" t="s">
        <v>2713</v>
      </c>
      <c r="S92" s="1" t="s">
        <v>2713</v>
      </c>
      <c r="T92" s="1" t="s">
        <v>2713</v>
      </c>
      <c r="U92" s="1" t="s">
        <v>2713</v>
      </c>
      <c r="V92" s="1" t="s">
        <v>2713</v>
      </c>
      <c r="W92" s="1" t="s">
        <v>2713</v>
      </c>
      <c r="X92" s="1" t="s">
        <v>2713</v>
      </c>
      <c r="Y92" s="1" t="s">
        <v>2713</v>
      </c>
      <c r="Z92" s="1" t="s">
        <v>2713</v>
      </c>
      <c r="AA92" s="1" t="s">
        <v>2713</v>
      </c>
      <c r="AB92" s="1" t="s">
        <v>2713</v>
      </c>
    </row>
    <row r="93" spans="2:28" x14ac:dyDescent="0.25">
      <c r="B93" s="18" t="s">
        <v>521</v>
      </c>
      <c r="C93" s="25" t="s">
        <v>3846</v>
      </c>
      <c r="D93" s="20" t="s">
        <v>3</v>
      </c>
      <c r="E93" s="22" t="s">
        <v>3</v>
      </c>
      <c r="F93" s="6"/>
      <c r="G93" s="5" t="s">
        <v>3</v>
      </c>
      <c r="H93" s="6"/>
      <c r="I93" s="5" t="s">
        <v>3</v>
      </c>
      <c r="J93" s="4"/>
      <c r="K93" s="4"/>
      <c r="L93" s="4"/>
      <c r="M93" s="4"/>
      <c r="N93" s="4"/>
      <c r="O93" s="4"/>
      <c r="P93" s="4"/>
      <c r="Q93" s="24"/>
      <c r="R93" s="4"/>
      <c r="S93" s="4"/>
      <c r="T93" s="4"/>
      <c r="U93" s="24"/>
      <c r="V93" s="4"/>
      <c r="W93" s="4"/>
      <c r="X93" s="2"/>
      <c r="Y93" s="5" t="s">
        <v>3</v>
      </c>
      <c r="Z93" s="5" t="s">
        <v>3</v>
      </c>
      <c r="AA93" s="5" t="s">
        <v>3</v>
      </c>
      <c r="AB93" s="16" t="s">
        <v>3</v>
      </c>
    </row>
    <row r="94" spans="2:28" x14ac:dyDescent="0.25">
      <c r="B94" s="7" t="s">
        <v>2713</v>
      </c>
      <c r="C94" s="1" t="s">
        <v>2713</v>
      </c>
      <c r="D94" s="8" t="s">
        <v>2713</v>
      </c>
      <c r="E94" s="1" t="s">
        <v>2713</v>
      </c>
      <c r="F94" s="1" t="s">
        <v>2713</v>
      </c>
      <c r="G94" s="1" t="s">
        <v>2713</v>
      </c>
      <c r="H94" s="1" t="s">
        <v>2713</v>
      </c>
      <c r="I94" s="1" t="s">
        <v>2713</v>
      </c>
      <c r="J94" s="1" t="s">
        <v>2713</v>
      </c>
      <c r="K94" s="1" t="s">
        <v>2713</v>
      </c>
      <c r="L94" s="1" t="s">
        <v>2713</v>
      </c>
      <c r="M94" s="1" t="s">
        <v>2713</v>
      </c>
      <c r="N94" s="1" t="s">
        <v>2713</v>
      </c>
      <c r="O94" s="1" t="s">
        <v>2713</v>
      </c>
      <c r="P94" s="1" t="s">
        <v>2713</v>
      </c>
      <c r="Q94" s="1" t="s">
        <v>2713</v>
      </c>
      <c r="R94" s="1" t="s">
        <v>2713</v>
      </c>
      <c r="S94" s="1" t="s">
        <v>2713</v>
      </c>
      <c r="T94" s="1" t="s">
        <v>2713</v>
      </c>
      <c r="U94" s="1" t="s">
        <v>2713</v>
      </c>
      <c r="V94" s="1" t="s">
        <v>2713</v>
      </c>
      <c r="W94" s="1" t="s">
        <v>2713</v>
      </c>
      <c r="X94" s="1" t="s">
        <v>2713</v>
      </c>
      <c r="Y94" s="1" t="s">
        <v>2713</v>
      </c>
      <c r="Z94" s="1" t="s">
        <v>2713</v>
      </c>
      <c r="AA94" s="1" t="s">
        <v>2713</v>
      </c>
      <c r="AB94" s="1" t="s">
        <v>2713</v>
      </c>
    </row>
    <row r="95" spans="2:28" ht="27.6" x14ac:dyDescent="0.25">
      <c r="B95" s="21" t="s">
        <v>1907</v>
      </c>
      <c r="C95" s="19" t="s">
        <v>1111</v>
      </c>
      <c r="D95" s="17"/>
      <c r="E95" s="2"/>
      <c r="F95" s="2"/>
      <c r="G95" s="2"/>
      <c r="H95" s="2"/>
      <c r="I95" s="2"/>
      <c r="J95" s="3">
        <f>SUM('GMIC_2020-Annu_SCDPT5'!SCDPT5_82BEGIN_8:'GMIC_2020-Annu_SCDPT5'!SCDPT5_82ENDIN_8)</f>
        <v>0</v>
      </c>
      <c r="K95" s="3">
        <f>SUM('GMIC_2020-Annu_SCDPT5'!SCDPT5_82BEGIN_9:'GMIC_2020-Annu_SCDPT5'!SCDPT5_82ENDIN_9)</f>
        <v>0</v>
      </c>
      <c r="L95" s="3">
        <f>SUM('GMIC_2020-Annu_SCDPT5'!SCDPT5_82BEGIN_10:'GMIC_2020-Annu_SCDPT5'!SCDPT5_82ENDIN_10)</f>
        <v>0</v>
      </c>
      <c r="M95" s="3">
        <f>SUM('GMIC_2020-Annu_SCDPT5'!SCDPT5_82BEGIN_11:'GMIC_2020-Annu_SCDPT5'!SCDPT5_82ENDIN_11)</f>
        <v>0</v>
      </c>
      <c r="N95" s="3">
        <f>SUM('GMIC_2020-Annu_SCDPT5'!SCDPT5_82BEGIN_12:'GMIC_2020-Annu_SCDPT5'!SCDPT5_82ENDIN_12)</f>
        <v>0</v>
      </c>
      <c r="O95" s="3">
        <f>SUM('GMIC_2020-Annu_SCDPT5'!SCDPT5_82BEGIN_13:'GMIC_2020-Annu_SCDPT5'!SCDPT5_82ENDIN_13)</f>
        <v>0</v>
      </c>
      <c r="P95" s="3">
        <f>SUM('GMIC_2020-Annu_SCDPT5'!SCDPT5_82BEGIN_14:'GMIC_2020-Annu_SCDPT5'!SCDPT5_82ENDIN_14)</f>
        <v>0</v>
      </c>
      <c r="Q95" s="3">
        <f>SUM('GMIC_2020-Annu_SCDPT5'!SCDPT5_82BEGIN_15:'GMIC_2020-Annu_SCDPT5'!SCDPT5_82ENDIN_15)</f>
        <v>0</v>
      </c>
      <c r="R95" s="3">
        <f>SUM('GMIC_2020-Annu_SCDPT5'!SCDPT5_82BEGIN_16:'GMIC_2020-Annu_SCDPT5'!SCDPT5_82ENDIN_16)</f>
        <v>0</v>
      </c>
      <c r="S95" s="3">
        <f>SUM('GMIC_2020-Annu_SCDPT5'!SCDPT5_82BEGIN_17:'GMIC_2020-Annu_SCDPT5'!SCDPT5_82ENDIN_17)</f>
        <v>0</v>
      </c>
      <c r="T95" s="3">
        <f>SUM('GMIC_2020-Annu_SCDPT5'!SCDPT5_82BEGIN_18:'GMIC_2020-Annu_SCDPT5'!SCDPT5_82ENDIN_18)</f>
        <v>0</v>
      </c>
      <c r="U95" s="3">
        <f>SUM('GMIC_2020-Annu_SCDPT5'!SCDPT5_82BEGIN_19:'GMIC_2020-Annu_SCDPT5'!SCDPT5_82ENDIN_19)</f>
        <v>0</v>
      </c>
      <c r="V95" s="3">
        <f>SUM('GMIC_2020-Annu_SCDPT5'!SCDPT5_82BEGIN_20:'GMIC_2020-Annu_SCDPT5'!SCDPT5_82ENDIN_20)</f>
        <v>0</v>
      </c>
      <c r="W95" s="3">
        <f>SUM('GMIC_2020-Annu_SCDPT5'!SCDPT5_82BEGIN_21:'GMIC_2020-Annu_SCDPT5'!SCDPT5_82ENDIN_21)</f>
        <v>0</v>
      </c>
      <c r="X95" s="2"/>
      <c r="Y95" s="2"/>
      <c r="Z95" s="2"/>
      <c r="AA95" s="2"/>
      <c r="AB95" s="2"/>
    </row>
    <row r="96" spans="2:28" x14ac:dyDescent="0.25">
      <c r="B96" s="21" t="s">
        <v>206</v>
      </c>
      <c r="C96" s="19" t="s">
        <v>2393</v>
      </c>
      <c r="D96" s="17"/>
      <c r="E96" s="2"/>
      <c r="F96" s="2"/>
      <c r="G96" s="2"/>
      <c r="H96" s="2"/>
      <c r="I96" s="2"/>
      <c r="J96" s="3">
        <f>'GMIC_2020-Annu_SCDPT5'!SCDPT5_0599999_8+'GMIC_2020-Annu_SCDPT5'!SCDPT5_1099999_8+'GMIC_2020-Annu_SCDPT5'!SCDPT5_1799999_8+'GMIC_2020-Annu_SCDPT5'!SCDPT5_2499999_8+'GMIC_2020-Annu_SCDPT5'!SCDPT5_3199999_8+'GMIC_2020-Annu_SCDPT5'!SCDPT5_3899999_8+'GMIC_2020-Annu_SCDPT5'!SCDPT5_4899999_8+'GMIC_2020-Annu_SCDPT5'!SCDPT5_5599999_8+'GMIC_2020-Annu_SCDPT5'!SCDPT5_8299999_8</f>
        <v>87462775.170000002</v>
      </c>
      <c r="K96" s="3">
        <f>'GMIC_2020-Annu_SCDPT5'!SCDPT5_0599999_9+'GMIC_2020-Annu_SCDPT5'!SCDPT5_1099999_9+'GMIC_2020-Annu_SCDPT5'!SCDPT5_1799999_9+'GMIC_2020-Annu_SCDPT5'!SCDPT5_2499999_9+'GMIC_2020-Annu_SCDPT5'!SCDPT5_3199999_9+'GMIC_2020-Annu_SCDPT5'!SCDPT5_3899999_9+'GMIC_2020-Annu_SCDPT5'!SCDPT5_4899999_9+'GMIC_2020-Annu_SCDPT5'!SCDPT5_5599999_9+'GMIC_2020-Annu_SCDPT5'!SCDPT5_8099999_9+'GMIC_2020-Annu_SCDPT5'!SCDPT5_8299999_9</f>
        <v>87971786</v>
      </c>
      <c r="L96" s="3">
        <f>'GMIC_2020-Annu_SCDPT5'!SCDPT5_0599999_10+'GMIC_2020-Annu_SCDPT5'!SCDPT5_1099999_10+'GMIC_2020-Annu_SCDPT5'!SCDPT5_1799999_10+'GMIC_2020-Annu_SCDPT5'!SCDPT5_2499999_10+'GMIC_2020-Annu_SCDPT5'!SCDPT5_3199999_10+'GMIC_2020-Annu_SCDPT5'!SCDPT5_3899999_10+'GMIC_2020-Annu_SCDPT5'!SCDPT5_4899999_10+'GMIC_2020-Annu_SCDPT5'!SCDPT5_5599999_10+'GMIC_2020-Annu_SCDPT5'!SCDPT5_8099999_10+'GMIC_2020-Annu_SCDPT5'!SCDPT5_8299999_10</f>
        <v>88175634</v>
      </c>
      <c r="M96" s="3">
        <f>'GMIC_2020-Annu_SCDPT5'!SCDPT5_0599999_11+'GMIC_2020-Annu_SCDPT5'!SCDPT5_1099999_11+'GMIC_2020-Annu_SCDPT5'!SCDPT5_1799999_11+'GMIC_2020-Annu_SCDPT5'!SCDPT5_2499999_11+'GMIC_2020-Annu_SCDPT5'!SCDPT5_3199999_11+'GMIC_2020-Annu_SCDPT5'!SCDPT5_3899999_11+'GMIC_2020-Annu_SCDPT5'!SCDPT5_4899999_11+'GMIC_2020-Annu_SCDPT5'!SCDPT5_5599999_11+'GMIC_2020-Annu_SCDPT5'!SCDPT5_8099999_11+'GMIC_2020-Annu_SCDPT5'!SCDPT5_8299999_11</f>
        <v>88218772</v>
      </c>
      <c r="N96" s="3">
        <f>'GMIC_2020-Annu_SCDPT5'!SCDPT5_0599999_12+'GMIC_2020-Annu_SCDPT5'!SCDPT5_1099999_12+'GMIC_2020-Annu_SCDPT5'!SCDPT5_1799999_12+'GMIC_2020-Annu_SCDPT5'!SCDPT5_2499999_12+'GMIC_2020-Annu_SCDPT5'!SCDPT5_3199999_12+'GMIC_2020-Annu_SCDPT5'!SCDPT5_3899999_12+'GMIC_2020-Annu_SCDPT5'!SCDPT5_4899999_12+'GMIC_2020-Annu_SCDPT5'!SCDPT5_5599999_12+'GMIC_2020-Annu_SCDPT5'!SCDPT5_8099999_12+'GMIC_2020-Annu_SCDPT5'!SCDPT5_8299999_12</f>
        <v>0</v>
      </c>
      <c r="O96" s="3">
        <f>'GMIC_2020-Annu_SCDPT5'!SCDPT5_0599999_13+'GMIC_2020-Annu_SCDPT5'!SCDPT5_1099999_13+'GMIC_2020-Annu_SCDPT5'!SCDPT5_1799999_13+'GMIC_2020-Annu_SCDPT5'!SCDPT5_2499999_13+'GMIC_2020-Annu_SCDPT5'!SCDPT5_3199999_13+'GMIC_2020-Annu_SCDPT5'!SCDPT5_3899999_13+'GMIC_2020-Annu_SCDPT5'!SCDPT5_4899999_13+'GMIC_2020-Annu_SCDPT5'!SCDPT5_5599999_13+'GMIC_2020-Annu_SCDPT5'!SCDPT5_8099999_13+'GMIC_2020-Annu_SCDPT5'!SCDPT5_8299999_13</f>
        <v>-207345.8</v>
      </c>
      <c r="P96" s="3">
        <f>'GMIC_2020-Annu_SCDPT5'!SCDPT5_0599999_14+'GMIC_2020-Annu_SCDPT5'!SCDPT5_1099999_14+'GMIC_2020-Annu_SCDPT5'!SCDPT5_1799999_14+'GMIC_2020-Annu_SCDPT5'!SCDPT5_2499999_14+'GMIC_2020-Annu_SCDPT5'!SCDPT5_3199999_14+'GMIC_2020-Annu_SCDPT5'!SCDPT5_3899999_14+'GMIC_2020-Annu_SCDPT5'!SCDPT5_4899999_14+'GMIC_2020-Annu_SCDPT5'!SCDPT5_5599999_14+'GMIC_2020-Annu_SCDPT5'!SCDPT5_8099999_14+'GMIC_2020-Annu_SCDPT5'!SCDPT5_8299999_14</f>
        <v>0</v>
      </c>
      <c r="Q96" s="3">
        <f>'GMIC_2020-Annu_SCDPT5'!SCDPT5_0599999_15+'GMIC_2020-Annu_SCDPT5'!SCDPT5_1099999_15+'GMIC_2020-Annu_SCDPT5'!SCDPT5_1799999_15+'GMIC_2020-Annu_SCDPT5'!SCDPT5_2499999_15+'GMIC_2020-Annu_SCDPT5'!SCDPT5_3199999_15+'GMIC_2020-Annu_SCDPT5'!SCDPT5_3899999_15+'GMIC_2020-Annu_SCDPT5'!SCDPT5_4899999_15+'GMIC_2020-Annu_SCDPT5'!SCDPT5_5599999_15+'GMIC_2020-Annu_SCDPT5'!SCDPT5_8099999_15+'GMIC_2020-Annu_SCDPT5'!SCDPT5_8299999_15</f>
        <v>-207345.8</v>
      </c>
      <c r="R96" s="3">
        <f>'GMIC_2020-Annu_SCDPT5'!SCDPT5_0599999_16+'GMIC_2020-Annu_SCDPT5'!SCDPT5_1099999_16+'GMIC_2020-Annu_SCDPT5'!SCDPT5_1799999_16+'GMIC_2020-Annu_SCDPT5'!SCDPT5_2499999_16+'GMIC_2020-Annu_SCDPT5'!SCDPT5_3199999_16+'GMIC_2020-Annu_SCDPT5'!SCDPT5_3899999_16+'GMIC_2020-Annu_SCDPT5'!SCDPT5_4899999_16+'GMIC_2020-Annu_SCDPT5'!SCDPT5_5599999_16+'GMIC_2020-Annu_SCDPT5'!SCDPT5_8099999_16+'GMIC_2020-Annu_SCDPT5'!SCDPT5_8299999_16</f>
        <v>0</v>
      </c>
      <c r="S96" s="3">
        <f>'GMIC_2020-Annu_SCDPT5'!SCDPT5_0599999_17+'GMIC_2020-Annu_SCDPT5'!SCDPT5_1099999_17+'GMIC_2020-Annu_SCDPT5'!SCDPT5_1799999_17+'GMIC_2020-Annu_SCDPT5'!SCDPT5_2499999_17+'GMIC_2020-Annu_SCDPT5'!SCDPT5_3199999_17+'GMIC_2020-Annu_SCDPT5'!SCDPT5_3899999_17+'GMIC_2020-Annu_SCDPT5'!SCDPT5_4899999_17+'GMIC_2020-Annu_SCDPT5'!SCDPT5_5599999_17+'GMIC_2020-Annu_SCDPT5'!SCDPT5_8099999_17+'GMIC_2020-Annu_SCDPT5'!SCDPT5_8299999_17</f>
        <v>0</v>
      </c>
      <c r="T96" s="3">
        <f>'GMIC_2020-Annu_SCDPT5'!SCDPT5_0599999_18+'GMIC_2020-Annu_SCDPT5'!SCDPT5_1099999_18+'GMIC_2020-Annu_SCDPT5'!SCDPT5_1799999_18+'GMIC_2020-Annu_SCDPT5'!SCDPT5_2499999_18+'GMIC_2020-Annu_SCDPT5'!SCDPT5_3199999_18+'GMIC_2020-Annu_SCDPT5'!SCDPT5_3899999_18+'GMIC_2020-Annu_SCDPT5'!SCDPT5_4899999_18+'GMIC_2020-Annu_SCDPT5'!SCDPT5_5599999_18+'GMIC_2020-Annu_SCDPT5'!SCDPT5_8099999_18+'GMIC_2020-Annu_SCDPT5'!SCDPT5_8299999_18</f>
        <v>-43138</v>
      </c>
      <c r="U96" s="3">
        <f>'GMIC_2020-Annu_SCDPT5'!SCDPT5_0599999_19+'GMIC_2020-Annu_SCDPT5'!SCDPT5_1099999_19+'GMIC_2020-Annu_SCDPT5'!SCDPT5_1799999_19+'GMIC_2020-Annu_SCDPT5'!SCDPT5_2499999_19+'GMIC_2020-Annu_SCDPT5'!SCDPT5_3199999_19+'GMIC_2020-Annu_SCDPT5'!SCDPT5_3899999_19+'GMIC_2020-Annu_SCDPT5'!SCDPT5_4899999_19+'GMIC_2020-Annu_SCDPT5'!SCDPT5_5599999_19+'GMIC_2020-Annu_SCDPT5'!SCDPT5_8099999_19+'GMIC_2020-Annu_SCDPT5'!SCDPT5_8299999_19</f>
        <v>-43138</v>
      </c>
      <c r="V96" s="3">
        <f>'GMIC_2020-Annu_SCDPT5'!SCDPT5_0599999_20+'GMIC_2020-Annu_SCDPT5'!SCDPT5_1099999_20+'GMIC_2020-Annu_SCDPT5'!SCDPT5_1799999_20+'GMIC_2020-Annu_SCDPT5'!SCDPT5_2499999_20+'GMIC_2020-Annu_SCDPT5'!SCDPT5_3199999_20+'GMIC_2020-Annu_SCDPT5'!SCDPT5_3899999_20+'GMIC_2020-Annu_SCDPT5'!SCDPT5_4899999_20+'GMIC_2020-Annu_SCDPT5'!SCDPT5_5599999_20+'GMIC_2020-Annu_SCDPT5'!SCDPT5_8099999_20+'GMIC_2020-Annu_SCDPT5'!SCDPT5_8299999_20</f>
        <v>1516803.8</v>
      </c>
      <c r="W96" s="3">
        <f>'GMIC_2020-Annu_SCDPT5'!SCDPT5_0599999_21+'GMIC_2020-Annu_SCDPT5'!SCDPT5_1099999_21+'GMIC_2020-Annu_SCDPT5'!SCDPT5_1799999_21+'GMIC_2020-Annu_SCDPT5'!SCDPT5_2499999_21+'GMIC_2020-Annu_SCDPT5'!SCDPT5_3199999_21+'GMIC_2020-Annu_SCDPT5'!SCDPT5_3899999_21+'GMIC_2020-Annu_SCDPT5'!SCDPT5_4899999_21+'GMIC_2020-Annu_SCDPT5'!SCDPT5_5599999_21+'GMIC_2020-Annu_SCDPT5'!SCDPT5_8099999_21+'GMIC_2020-Annu_SCDPT5'!SCDPT5_8299999_21</f>
        <v>323931</v>
      </c>
      <c r="X96" s="2"/>
      <c r="Y96" s="2"/>
      <c r="Z96" s="2"/>
      <c r="AA96" s="2"/>
      <c r="AB96" s="2"/>
    </row>
    <row r="97" spans="2:28" x14ac:dyDescent="0.25">
      <c r="B97" s="7" t="s">
        <v>2713</v>
      </c>
      <c r="C97" s="1" t="s">
        <v>2713</v>
      </c>
      <c r="D97" s="8" t="s">
        <v>2713</v>
      </c>
      <c r="E97" s="1" t="s">
        <v>2713</v>
      </c>
      <c r="F97" s="1" t="s">
        <v>2713</v>
      </c>
      <c r="G97" s="1" t="s">
        <v>2713</v>
      </c>
      <c r="H97" s="1" t="s">
        <v>2713</v>
      </c>
      <c r="I97" s="1" t="s">
        <v>2713</v>
      </c>
      <c r="J97" s="1" t="s">
        <v>2713</v>
      </c>
      <c r="K97" s="1" t="s">
        <v>2713</v>
      </c>
      <c r="L97" s="1" t="s">
        <v>2713</v>
      </c>
      <c r="M97" s="1" t="s">
        <v>2713</v>
      </c>
      <c r="N97" s="1" t="s">
        <v>2713</v>
      </c>
      <c r="O97" s="1" t="s">
        <v>2713</v>
      </c>
      <c r="P97" s="1" t="s">
        <v>2713</v>
      </c>
      <c r="Q97" s="1" t="s">
        <v>2713</v>
      </c>
      <c r="R97" s="1" t="s">
        <v>2713</v>
      </c>
      <c r="S97" s="1" t="s">
        <v>2713</v>
      </c>
      <c r="T97" s="1" t="s">
        <v>2713</v>
      </c>
      <c r="U97" s="1" t="s">
        <v>2713</v>
      </c>
      <c r="V97" s="1" t="s">
        <v>2713</v>
      </c>
      <c r="W97" s="1" t="s">
        <v>2713</v>
      </c>
      <c r="X97" s="1" t="s">
        <v>2713</v>
      </c>
      <c r="Y97" s="1" t="s">
        <v>2713</v>
      </c>
      <c r="Z97" s="1" t="s">
        <v>2713</v>
      </c>
      <c r="AA97" s="1" t="s">
        <v>2713</v>
      </c>
      <c r="AB97" s="1" t="s">
        <v>2713</v>
      </c>
    </row>
    <row r="98" spans="2:28" x14ac:dyDescent="0.25">
      <c r="B98" s="18" t="s">
        <v>3497</v>
      </c>
      <c r="C98" s="25" t="s">
        <v>3846</v>
      </c>
      <c r="D98" s="20" t="s">
        <v>3</v>
      </c>
      <c r="E98" s="22" t="s">
        <v>3</v>
      </c>
      <c r="F98" s="6"/>
      <c r="G98" s="5" t="s">
        <v>3</v>
      </c>
      <c r="H98" s="6"/>
      <c r="I98" s="5" t="s">
        <v>3</v>
      </c>
      <c r="J98" s="28"/>
      <c r="K98" s="4"/>
      <c r="L98" s="4"/>
      <c r="M98" s="4"/>
      <c r="N98" s="4"/>
      <c r="O98" s="4"/>
      <c r="P98" s="4"/>
      <c r="Q98" s="24"/>
      <c r="R98" s="4"/>
      <c r="S98" s="4"/>
      <c r="T98" s="4"/>
      <c r="U98" s="24"/>
      <c r="V98" s="4"/>
      <c r="W98" s="4"/>
      <c r="X98" s="2"/>
      <c r="Y98" s="5" t="s">
        <v>3</v>
      </c>
      <c r="Z98" s="5" t="s">
        <v>3</v>
      </c>
      <c r="AA98" s="5" t="s">
        <v>3</v>
      </c>
      <c r="AB98" s="16" t="s">
        <v>3</v>
      </c>
    </row>
    <row r="99" spans="2:28" x14ac:dyDescent="0.25">
      <c r="B99" s="7" t="s">
        <v>2713</v>
      </c>
      <c r="C99" s="1" t="s">
        <v>2713</v>
      </c>
      <c r="D99" s="8" t="s">
        <v>2713</v>
      </c>
      <c r="E99" s="1" t="s">
        <v>2713</v>
      </c>
      <c r="F99" s="1" t="s">
        <v>2713</v>
      </c>
      <c r="G99" s="1" t="s">
        <v>2713</v>
      </c>
      <c r="H99" s="1" t="s">
        <v>2713</v>
      </c>
      <c r="I99" s="1" t="s">
        <v>2713</v>
      </c>
      <c r="J99" s="1" t="s">
        <v>2713</v>
      </c>
      <c r="K99" s="1" t="s">
        <v>2713</v>
      </c>
      <c r="L99" s="1" t="s">
        <v>2713</v>
      </c>
      <c r="M99" s="1" t="s">
        <v>2713</v>
      </c>
      <c r="N99" s="1" t="s">
        <v>2713</v>
      </c>
      <c r="O99" s="1" t="s">
        <v>2713</v>
      </c>
      <c r="P99" s="1" t="s">
        <v>2713</v>
      </c>
      <c r="Q99" s="1" t="s">
        <v>2713</v>
      </c>
      <c r="R99" s="1" t="s">
        <v>2713</v>
      </c>
      <c r="S99" s="1" t="s">
        <v>2713</v>
      </c>
      <c r="T99" s="1" t="s">
        <v>2713</v>
      </c>
      <c r="U99" s="1" t="s">
        <v>2713</v>
      </c>
      <c r="V99" s="1" t="s">
        <v>2713</v>
      </c>
      <c r="W99" s="1" t="s">
        <v>2713</v>
      </c>
      <c r="X99" s="1" t="s">
        <v>2713</v>
      </c>
      <c r="Y99" s="1" t="s">
        <v>2713</v>
      </c>
      <c r="Z99" s="1" t="s">
        <v>2713</v>
      </c>
      <c r="AA99" s="1" t="s">
        <v>2713</v>
      </c>
      <c r="AB99" s="1" t="s">
        <v>2713</v>
      </c>
    </row>
    <row r="100" spans="2:28" ht="55.2" x14ac:dyDescent="0.25">
      <c r="B100" s="21" t="s">
        <v>522</v>
      </c>
      <c r="C100" s="19" t="s">
        <v>4155</v>
      </c>
      <c r="D100" s="17"/>
      <c r="E100" s="2"/>
      <c r="F100" s="2"/>
      <c r="G100" s="2"/>
      <c r="H100" s="2"/>
      <c r="I100" s="2"/>
      <c r="J100" s="2"/>
      <c r="K100" s="3">
        <f>SUM('GMIC_2020-Annu_SCDPT5'!SCDPT5_84BEGIN_9:'GMIC_2020-Annu_SCDPT5'!SCDPT5_84ENDIN_9)</f>
        <v>0</v>
      </c>
      <c r="L100" s="3">
        <f>SUM('GMIC_2020-Annu_SCDPT5'!SCDPT5_84BEGIN_10:'GMIC_2020-Annu_SCDPT5'!SCDPT5_84ENDIN_10)</f>
        <v>0</v>
      </c>
      <c r="M100" s="3">
        <f>SUM('GMIC_2020-Annu_SCDPT5'!SCDPT5_84BEGIN_11:'GMIC_2020-Annu_SCDPT5'!SCDPT5_84ENDIN_11)</f>
        <v>0</v>
      </c>
      <c r="N100" s="3">
        <f>SUM('GMIC_2020-Annu_SCDPT5'!SCDPT5_84BEGIN_12:'GMIC_2020-Annu_SCDPT5'!SCDPT5_84ENDIN_12)</f>
        <v>0</v>
      </c>
      <c r="O100" s="3">
        <f>SUM('GMIC_2020-Annu_SCDPT5'!SCDPT5_84BEGIN_13:'GMIC_2020-Annu_SCDPT5'!SCDPT5_84ENDIN_13)</f>
        <v>0</v>
      </c>
      <c r="P100" s="3">
        <f>SUM('GMIC_2020-Annu_SCDPT5'!SCDPT5_84BEGIN_14:'GMIC_2020-Annu_SCDPT5'!SCDPT5_84ENDIN_14)</f>
        <v>0</v>
      </c>
      <c r="Q100" s="3">
        <f>SUM('GMIC_2020-Annu_SCDPT5'!SCDPT5_84BEGIN_15:'GMIC_2020-Annu_SCDPT5'!SCDPT5_84ENDIN_15)</f>
        <v>0</v>
      </c>
      <c r="R100" s="3">
        <f>SUM('GMIC_2020-Annu_SCDPT5'!SCDPT5_84BEGIN_16:'GMIC_2020-Annu_SCDPT5'!SCDPT5_84ENDIN_16)</f>
        <v>0</v>
      </c>
      <c r="S100" s="3">
        <f>SUM('GMIC_2020-Annu_SCDPT5'!SCDPT5_84BEGIN_17:'GMIC_2020-Annu_SCDPT5'!SCDPT5_84ENDIN_17)</f>
        <v>0</v>
      </c>
      <c r="T100" s="3">
        <f>SUM('GMIC_2020-Annu_SCDPT5'!SCDPT5_84BEGIN_18:'GMIC_2020-Annu_SCDPT5'!SCDPT5_84ENDIN_18)</f>
        <v>0</v>
      </c>
      <c r="U100" s="3">
        <f>SUM('GMIC_2020-Annu_SCDPT5'!SCDPT5_84BEGIN_19:'GMIC_2020-Annu_SCDPT5'!SCDPT5_84ENDIN_19)</f>
        <v>0</v>
      </c>
      <c r="V100" s="3">
        <f>SUM('GMIC_2020-Annu_SCDPT5'!SCDPT5_84BEGIN_20:'GMIC_2020-Annu_SCDPT5'!SCDPT5_84ENDIN_20)</f>
        <v>0</v>
      </c>
      <c r="W100" s="3">
        <f>SUM('GMIC_2020-Annu_SCDPT5'!SCDPT5_84BEGIN_21:'GMIC_2020-Annu_SCDPT5'!SCDPT5_84ENDIN_21)</f>
        <v>0</v>
      </c>
      <c r="X100" s="2"/>
      <c r="Y100" s="2"/>
      <c r="Z100" s="2"/>
      <c r="AA100" s="2"/>
      <c r="AB100" s="2"/>
    </row>
    <row r="101" spans="2:28" x14ac:dyDescent="0.25">
      <c r="B101" s="7" t="s">
        <v>2713</v>
      </c>
      <c r="C101" s="1" t="s">
        <v>2713</v>
      </c>
      <c r="D101" s="8" t="s">
        <v>2713</v>
      </c>
      <c r="E101" s="1" t="s">
        <v>2713</v>
      </c>
      <c r="F101" s="1" t="s">
        <v>2713</v>
      </c>
      <c r="G101" s="1" t="s">
        <v>2713</v>
      </c>
      <c r="H101" s="1" t="s">
        <v>2713</v>
      </c>
      <c r="I101" s="1" t="s">
        <v>2713</v>
      </c>
      <c r="J101" s="1" t="s">
        <v>2713</v>
      </c>
      <c r="K101" s="1" t="s">
        <v>2713</v>
      </c>
      <c r="L101" s="1" t="s">
        <v>2713</v>
      </c>
      <c r="M101" s="1" t="s">
        <v>2713</v>
      </c>
      <c r="N101" s="1" t="s">
        <v>2713</v>
      </c>
      <c r="O101" s="1" t="s">
        <v>2713</v>
      </c>
      <c r="P101" s="1" t="s">
        <v>2713</v>
      </c>
      <c r="Q101" s="1" t="s">
        <v>2713</v>
      </c>
      <c r="R101" s="1" t="s">
        <v>2713</v>
      </c>
      <c r="S101" s="1" t="s">
        <v>2713</v>
      </c>
      <c r="T101" s="1" t="s">
        <v>2713</v>
      </c>
      <c r="U101" s="1" t="s">
        <v>2713</v>
      </c>
      <c r="V101" s="1" t="s">
        <v>2713</v>
      </c>
      <c r="W101" s="1" t="s">
        <v>2713</v>
      </c>
      <c r="X101" s="1" t="s">
        <v>2713</v>
      </c>
      <c r="Y101" s="1" t="s">
        <v>2713</v>
      </c>
      <c r="Z101" s="1" t="s">
        <v>2713</v>
      </c>
      <c r="AA101" s="1" t="s">
        <v>2713</v>
      </c>
      <c r="AB101" s="1" t="s">
        <v>2713</v>
      </c>
    </row>
    <row r="102" spans="2:28" x14ac:dyDescent="0.25">
      <c r="B102" s="18" t="s">
        <v>2680</v>
      </c>
      <c r="C102" s="25" t="s">
        <v>3846</v>
      </c>
      <c r="D102" s="20" t="s">
        <v>3</v>
      </c>
      <c r="E102" s="22" t="s">
        <v>3</v>
      </c>
      <c r="F102" s="6"/>
      <c r="G102" s="5" t="s">
        <v>3</v>
      </c>
      <c r="H102" s="6"/>
      <c r="I102" s="5" t="s">
        <v>3</v>
      </c>
      <c r="J102" s="28"/>
      <c r="K102" s="4"/>
      <c r="L102" s="4"/>
      <c r="M102" s="4"/>
      <c r="N102" s="4"/>
      <c r="O102" s="4"/>
      <c r="P102" s="4"/>
      <c r="Q102" s="24"/>
      <c r="R102" s="4"/>
      <c r="S102" s="4"/>
      <c r="T102" s="4"/>
      <c r="U102" s="24"/>
      <c r="V102" s="4"/>
      <c r="W102" s="4"/>
      <c r="X102" s="2"/>
      <c r="Y102" s="5" t="s">
        <v>3</v>
      </c>
      <c r="Z102" s="5" t="s">
        <v>3</v>
      </c>
      <c r="AA102" s="5" t="s">
        <v>3</v>
      </c>
      <c r="AB102" s="16" t="s">
        <v>3</v>
      </c>
    </row>
    <row r="103" spans="2:28" x14ac:dyDescent="0.25">
      <c r="B103" s="7" t="s">
        <v>2713</v>
      </c>
      <c r="C103" s="1" t="s">
        <v>2713</v>
      </c>
      <c r="D103" s="8" t="s">
        <v>2713</v>
      </c>
      <c r="E103" s="1" t="s">
        <v>2713</v>
      </c>
      <c r="F103" s="1" t="s">
        <v>2713</v>
      </c>
      <c r="G103" s="1" t="s">
        <v>2713</v>
      </c>
      <c r="H103" s="1" t="s">
        <v>2713</v>
      </c>
      <c r="I103" s="1" t="s">
        <v>2713</v>
      </c>
      <c r="J103" s="1" t="s">
        <v>2713</v>
      </c>
      <c r="K103" s="1" t="s">
        <v>2713</v>
      </c>
      <c r="L103" s="1" t="s">
        <v>2713</v>
      </c>
      <c r="M103" s="1" t="s">
        <v>2713</v>
      </c>
      <c r="N103" s="1" t="s">
        <v>2713</v>
      </c>
      <c r="O103" s="1" t="s">
        <v>2713</v>
      </c>
      <c r="P103" s="1" t="s">
        <v>2713</v>
      </c>
      <c r="Q103" s="1" t="s">
        <v>2713</v>
      </c>
      <c r="R103" s="1" t="s">
        <v>2713</v>
      </c>
      <c r="S103" s="1" t="s">
        <v>2713</v>
      </c>
      <c r="T103" s="1" t="s">
        <v>2713</v>
      </c>
      <c r="U103" s="1" t="s">
        <v>2713</v>
      </c>
      <c r="V103" s="1" t="s">
        <v>2713</v>
      </c>
      <c r="W103" s="1" t="s">
        <v>2713</v>
      </c>
      <c r="X103" s="1" t="s">
        <v>2713</v>
      </c>
      <c r="Y103" s="1" t="s">
        <v>2713</v>
      </c>
      <c r="Z103" s="1" t="s">
        <v>2713</v>
      </c>
      <c r="AA103" s="1" t="s">
        <v>2713</v>
      </c>
      <c r="AB103" s="1" t="s">
        <v>2713</v>
      </c>
    </row>
    <row r="104" spans="2:28" ht="55.2" x14ac:dyDescent="0.25">
      <c r="B104" s="21" t="s">
        <v>4156</v>
      </c>
      <c r="C104" s="19" t="s">
        <v>4157</v>
      </c>
      <c r="D104" s="17"/>
      <c r="E104" s="2"/>
      <c r="F104" s="2"/>
      <c r="G104" s="2"/>
      <c r="H104" s="2"/>
      <c r="I104" s="2"/>
      <c r="J104" s="2"/>
      <c r="K104" s="3">
        <f>SUM('GMIC_2020-Annu_SCDPT5'!SCDPT5_85BEGIN_9:'GMIC_2020-Annu_SCDPT5'!SCDPT5_85ENDIN_9)</f>
        <v>0</v>
      </c>
      <c r="L104" s="3">
        <f>SUM('GMIC_2020-Annu_SCDPT5'!SCDPT5_85BEGIN_10:'GMIC_2020-Annu_SCDPT5'!SCDPT5_85ENDIN_10)</f>
        <v>0</v>
      </c>
      <c r="M104" s="3">
        <f>SUM('GMIC_2020-Annu_SCDPT5'!SCDPT5_85BEGIN_11:'GMIC_2020-Annu_SCDPT5'!SCDPT5_85ENDIN_11)</f>
        <v>0</v>
      </c>
      <c r="N104" s="3">
        <f>SUM('GMIC_2020-Annu_SCDPT5'!SCDPT5_85BEGIN_12:'GMIC_2020-Annu_SCDPT5'!SCDPT5_85ENDIN_12)</f>
        <v>0</v>
      </c>
      <c r="O104" s="3">
        <f>SUM('GMIC_2020-Annu_SCDPT5'!SCDPT5_85BEGIN_13:'GMIC_2020-Annu_SCDPT5'!SCDPT5_85ENDIN_13)</f>
        <v>0</v>
      </c>
      <c r="P104" s="3">
        <f>SUM('GMIC_2020-Annu_SCDPT5'!SCDPT5_85BEGIN_14:'GMIC_2020-Annu_SCDPT5'!SCDPT5_85ENDIN_14)</f>
        <v>0</v>
      </c>
      <c r="Q104" s="3">
        <f>SUM('GMIC_2020-Annu_SCDPT5'!SCDPT5_85BEGIN_15:'GMIC_2020-Annu_SCDPT5'!SCDPT5_85ENDIN_15)</f>
        <v>0</v>
      </c>
      <c r="R104" s="3">
        <f>SUM('GMIC_2020-Annu_SCDPT5'!SCDPT5_85BEGIN_16:'GMIC_2020-Annu_SCDPT5'!SCDPT5_85ENDIN_16)</f>
        <v>0</v>
      </c>
      <c r="S104" s="3">
        <f>SUM('GMIC_2020-Annu_SCDPT5'!SCDPT5_85BEGIN_17:'GMIC_2020-Annu_SCDPT5'!SCDPT5_85ENDIN_17)</f>
        <v>0</v>
      </c>
      <c r="T104" s="3">
        <f>SUM('GMIC_2020-Annu_SCDPT5'!SCDPT5_85BEGIN_18:'GMIC_2020-Annu_SCDPT5'!SCDPT5_85ENDIN_18)</f>
        <v>0</v>
      </c>
      <c r="U104" s="3">
        <f>SUM('GMIC_2020-Annu_SCDPT5'!SCDPT5_85BEGIN_19:'GMIC_2020-Annu_SCDPT5'!SCDPT5_85ENDIN_19)</f>
        <v>0</v>
      </c>
      <c r="V104" s="3">
        <f>SUM('GMIC_2020-Annu_SCDPT5'!SCDPT5_85BEGIN_20:'GMIC_2020-Annu_SCDPT5'!SCDPT5_85ENDIN_20)</f>
        <v>0</v>
      </c>
      <c r="W104" s="3">
        <f>SUM('GMIC_2020-Annu_SCDPT5'!SCDPT5_85BEGIN_21:'GMIC_2020-Annu_SCDPT5'!SCDPT5_85ENDIN_21)</f>
        <v>0</v>
      </c>
      <c r="X104" s="2"/>
      <c r="Y104" s="2"/>
      <c r="Z104" s="2"/>
      <c r="AA104" s="2"/>
      <c r="AB104" s="2"/>
    </row>
    <row r="105" spans="2:28" x14ac:dyDescent="0.25">
      <c r="B105" s="7" t="s">
        <v>2713</v>
      </c>
      <c r="C105" s="1" t="s">
        <v>2713</v>
      </c>
      <c r="D105" s="8" t="s">
        <v>2713</v>
      </c>
      <c r="E105" s="1" t="s">
        <v>2713</v>
      </c>
      <c r="F105" s="1" t="s">
        <v>2713</v>
      </c>
      <c r="G105" s="1" t="s">
        <v>2713</v>
      </c>
      <c r="H105" s="1" t="s">
        <v>2713</v>
      </c>
      <c r="I105" s="1" t="s">
        <v>2713</v>
      </c>
      <c r="J105" s="1" t="s">
        <v>2713</v>
      </c>
      <c r="K105" s="1" t="s">
        <v>2713</v>
      </c>
      <c r="L105" s="1" t="s">
        <v>2713</v>
      </c>
      <c r="M105" s="1" t="s">
        <v>2713</v>
      </c>
      <c r="N105" s="1" t="s">
        <v>2713</v>
      </c>
      <c r="O105" s="1" t="s">
        <v>2713</v>
      </c>
      <c r="P105" s="1" t="s">
        <v>2713</v>
      </c>
      <c r="Q105" s="1" t="s">
        <v>2713</v>
      </c>
      <c r="R105" s="1" t="s">
        <v>2713</v>
      </c>
      <c r="S105" s="1" t="s">
        <v>2713</v>
      </c>
      <c r="T105" s="1" t="s">
        <v>2713</v>
      </c>
      <c r="U105" s="1" t="s">
        <v>2713</v>
      </c>
      <c r="V105" s="1" t="s">
        <v>2713</v>
      </c>
      <c r="W105" s="1" t="s">
        <v>2713</v>
      </c>
      <c r="X105" s="1" t="s">
        <v>2713</v>
      </c>
      <c r="Y105" s="1" t="s">
        <v>2713</v>
      </c>
      <c r="Z105" s="1" t="s">
        <v>2713</v>
      </c>
      <c r="AA105" s="1" t="s">
        <v>2713</v>
      </c>
      <c r="AB105" s="1" t="s">
        <v>2713</v>
      </c>
    </row>
    <row r="106" spans="2:28" x14ac:dyDescent="0.25">
      <c r="B106" s="18" t="s">
        <v>1944</v>
      </c>
      <c r="C106" s="25" t="s">
        <v>3846</v>
      </c>
      <c r="D106" s="20" t="s">
        <v>3</v>
      </c>
      <c r="E106" s="22" t="s">
        <v>3</v>
      </c>
      <c r="F106" s="6"/>
      <c r="G106" s="5" t="s">
        <v>3</v>
      </c>
      <c r="H106" s="6"/>
      <c r="I106" s="5" t="s">
        <v>3</v>
      </c>
      <c r="J106" s="28"/>
      <c r="K106" s="4"/>
      <c r="L106" s="4"/>
      <c r="M106" s="4"/>
      <c r="N106" s="4"/>
      <c r="O106" s="4"/>
      <c r="P106" s="4"/>
      <c r="Q106" s="24"/>
      <c r="R106" s="4"/>
      <c r="S106" s="4"/>
      <c r="T106" s="4"/>
      <c r="U106" s="24"/>
      <c r="V106" s="4"/>
      <c r="W106" s="4"/>
      <c r="X106" s="2"/>
      <c r="Y106" s="5" t="s">
        <v>3</v>
      </c>
      <c r="Z106" s="5" t="s">
        <v>3</v>
      </c>
      <c r="AA106" s="5" t="s">
        <v>3</v>
      </c>
      <c r="AB106" s="16" t="s">
        <v>3</v>
      </c>
    </row>
    <row r="107" spans="2:28" x14ac:dyDescent="0.25">
      <c r="B107" s="7" t="s">
        <v>2713</v>
      </c>
      <c r="C107" s="1" t="s">
        <v>2713</v>
      </c>
      <c r="D107" s="8" t="s">
        <v>2713</v>
      </c>
      <c r="E107" s="1" t="s">
        <v>2713</v>
      </c>
      <c r="F107" s="1" t="s">
        <v>2713</v>
      </c>
      <c r="G107" s="1" t="s">
        <v>2713</v>
      </c>
      <c r="H107" s="1" t="s">
        <v>2713</v>
      </c>
      <c r="I107" s="1" t="s">
        <v>2713</v>
      </c>
      <c r="J107" s="1" t="s">
        <v>2713</v>
      </c>
      <c r="K107" s="1" t="s">
        <v>2713</v>
      </c>
      <c r="L107" s="1" t="s">
        <v>2713</v>
      </c>
      <c r="M107" s="1" t="s">
        <v>2713</v>
      </c>
      <c r="N107" s="1" t="s">
        <v>2713</v>
      </c>
      <c r="O107" s="1" t="s">
        <v>2713</v>
      </c>
      <c r="P107" s="1" t="s">
        <v>2713</v>
      </c>
      <c r="Q107" s="1" t="s">
        <v>2713</v>
      </c>
      <c r="R107" s="1" t="s">
        <v>2713</v>
      </c>
      <c r="S107" s="1" t="s">
        <v>2713</v>
      </c>
      <c r="T107" s="1" t="s">
        <v>2713</v>
      </c>
      <c r="U107" s="1" t="s">
        <v>2713</v>
      </c>
      <c r="V107" s="1" t="s">
        <v>2713</v>
      </c>
      <c r="W107" s="1" t="s">
        <v>2713</v>
      </c>
      <c r="X107" s="1" t="s">
        <v>2713</v>
      </c>
      <c r="Y107" s="1" t="s">
        <v>2713</v>
      </c>
      <c r="Z107" s="1" t="s">
        <v>2713</v>
      </c>
      <c r="AA107" s="1" t="s">
        <v>2713</v>
      </c>
      <c r="AB107" s="1" t="s">
        <v>2713</v>
      </c>
    </row>
    <row r="108" spans="2:28" ht="41.4" x14ac:dyDescent="0.25">
      <c r="B108" s="21" t="s">
        <v>3273</v>
      </c>
      <c r="C108" s="19" t="s">
        <v>3030</v>
      </c>
      <c r="D108" s="17"/>
      <c r="E108" s="2"/>
      <c r="F108" s="2"/>
      <c r="G108" s="2"/>
      <c r="H108" s="2"/>
      <c r="I108" s="2"/>
      <c r="J108" s="2"/>
      <c r="K108" s="3">
        <f>SUM('GMIC_2020-Annu_SCDPT5'!SCDPT5_86BEGIN_9:'GMIC_2020-Annu_SCDPT5'!SCDPT5_86ENDIN_9)</f>
        <v>0</v>
      </c>
      <c r="L108" s="3">
        <f>SUM('GMIC_2020-Annu_SCDPT5'!SCDPT5_86BEGIN_10:'GMIC_2020-Annu_SCDPT5'!SCDPT5_86ENDIN_10)</f>
        <v>0</v>
      </c>
      <c r="M108" s="3">
        <f>SUM('GMIC_2020-Annu_SCDPT5'!SCDPT5_86BEGIN_11:'GMIC_2020-Annu_SCDPT5'!SCDPT5_86ENDIN_11)</f>
        <v>0</v>
      </c>
      <c r="N108" s="3">
        <f>SUM('GMIC_2020-Annu_SCDPT5'!SCDPT5_86BEGIN_12:'GMIC_2020-Annu_SCDPT5'!SCDPT5_86ENDIN_12)</f>
        <v>0</v>
      </c>
      <c r="O108" s="3">
        <f>SUM('GMIC_2020-Annu_SCDPT5'!SCDPT5_86BEGIN_13:'GMIC_2020-Annu_SCDPT5'!SCDPT5_86ENDIN_13)</f>
        <v>0</v>
      </c>
      <c r="P108" s="3">
        <f>SUM('GMIC_2020-Annu_SCDPT5'!SCDPT5_86BEGIN_14:'GMIC_2020-Annu_SCDPT5'!SCDPT5_86ENDIN_14)</f>
        <v>0</v>
      </c>
      <c r="Q108" s="3">
        <f>SUM('GMIC_2020-Annu_SCDPT5'!SCDPT5_86BEGIN_15:'GMIC_2020-Annu_SCDPT5'!SCDPT5_86ENDIN_15)</f>
        <v>0</v>
      </c>
      <c r="R108" s="3">
        <f>SUM('GMIC_2020-Annu_SCDPT5'!SCDPT5_86BEGIN_16:'GMIC_2020-Annu_SCDPT5'!SCDPT5_86ENDIN_16)</f>
        <v>0</v>
      </c>
      <c r="S108" s="3">
        <f>SUM('GMIC_2020-Annu_SCDPT5'!SCDPT5_86BEGIN_17:'GMIC_2020-Annu_SCDPT5'!SCDPT5_86ENDIN_17)</f>
        <v>0</v>
      </c>
      <c r="T108" s="3">
        <f>SUM('GMIC_2020-Annu_SCDPT5'!SCDPT5_86BEGIN_18:'GMIC_2020-Annu_SCDPT5'!SCDPT5_86ENDIN_18)</f>
        <v>0</v>
      </c>
      <c r="U108" s="3">
        <f>SUM('GMIC_2020-Annu_SCDPT5'!SCDPT5_86BEGIN_19:'GMIC_2020-Annu_SCDPT5'!SCDPT5_86ENDIN_19)</f>
        <v>0</v>
      </c>
      <c r="V108" s="3">
        <f>SUM('GMIC_2020-Annu_SCDPT5'!SCDPT5_86BEGIN_20:'GMIC_2020-Annu_SCDPT5'!SCDPT5_86ENDIN_20)</f>
        <v>0</v>
      </c>
      <c r="W108" s="3">
        <f>SUM('GMIC_2020-Annu_SCDPT5'!SCDPT5_86BEGIN_21:'GMIC_2020-Annu_SCDPT5'!SCDPT5_86ENDIN_21)</f>
        <v>0</v>
      </c>
      <c r="X108" s="2"/>
      <c r="Y108" s="2"/>
      <c r="Z108" s="2"/>
      <c r="AA108" s="2"/>
      <c r="AB108" s="2"/>
    </row>
    <row r="109" spans="2:28" x14ac:dyDescent="0.25">
      <c r="B109" s="7" t="s">
        <v>2713</v>
      </c>
      <c r="C109" s="1" t="s">
        <v>2713</v>
      </c>
      <c r="D109" s="8" t="s">
        <v>2713</v>
      </c>
      <c r="E109" s="1" t="s">
        <v>2713</v>
      </c>
      <c r="F109" s="1" t="s">
        <v>2713</v>
      </c>
      <c r="G109" s="1" t="s">
        <v>2713</v>
      </c>
      <c r="H109" s="1" t="s">
        <v>2713</v>
      </c>
      <c r="I109" s="1" t="s">
        <v>2713</v>
      </c>
      <c r="J109" s="1" t="s">
        <v>2713</v>
      </c>
      <c r="K109" s="1" t="s">
        <v>2713</v>
      </c>
      <c r="L109" s="1" t="s">
        <v>2713</v>
      </c>
      <c r="M109" s="1" t="s">
        <v>2713</v>
      </c>
      <c r="N109" s="1" t="s">
        <v>2713</v>
      </c>
      <c r="O109" s="1" t="s">
        <v>2713</v>
      </c>
      <c r="P109" s="1" t="s">
        <v>2713</v>
      </c>
      <c r="Q109" s="1" t="s">
        <v>2713</v>
      </c>
      <c r="R109" s="1" t="s">
        <v>2713</v>
      </c>
      <c r="S109" s="1" t="s">
        <v>2713</v>
      </c>
      <c r="T109" s="1" t="s">
        <v>2713</v>
      </c>
      <c r="U109" s="1" t="s">
        <v>2713</v>
      </c>
      <c r="V109" s="1" t="s">
        <v>2713</v>
      </c>
      <c r="W109" s="1" t="s">
        <v>2713</v>
      </c>
      <c r="X109" s="1" t="s">
        <v>2713</v>
      </c>
      <c r="Y109" s="1" t="s">
        <v>2713</v>
      </c>
      <c r="Z109" s="1" t="s">
        <v>2713</v>
      </c>
      <c r="AA109" s="1" t="s">
        <v>2713</v>
      </c>
      <c r="AB109" s="1" t="s">
        <v>2713</v>
      </c>
    </row>
    <row r="110" spans="2:28" x14ac:dyDescent="0.25">
      <c r="B110" s="18" t="s">
        <v>1112</v>
      </c>
      <c r="C110" s="25" t="s">
        <v>3846</v>
      </c>
      <c r="D110" s="20" t="s">
        <v>3</v>
      </c>
      <c r="E110" s="22" t="s">
        <v>3</v>
      </c>
      <c r="F110" s="6"/>
      <c r="G110" s="5" t="s">
        <v>3</v>
      </c>
      <c r="H110" s="6"/>
      <c r="I110" s="5" t="s">
        <v>3</v>
      </c>
      <c r="J110" s="28"/>
      <c r="K110" s="4"/>
      <c r="L110" s="4"/>
      <c r="M110" s="4"/>
      <c r="N110" s="4"/>
      <c r="O110" s="4"/>
      <c r="P110" s="4"/>
      <c r="Q110" s="24"/>
      <c r="R110" s="4"/>
      <c r="S110" s="4"/>
      <c r="T110" s="4"/>
      <c r="U110" s="24"/>
      <c r="V110" s="4"/>
      <c r="W110" s="4"/>
      <c r="X110" s="2"/>
      <c r="Y110" s="5" t="s">
        <v>3</v>
      </c>
      <c r="Z110" s="5" t="s">
        <v>3</v>
      </c>
      <c r="AA110" s="5" t="s">
        <v>3</v>
      </c>
      <c r="AB110" s="16" t="s">
        <v>3</v>
      </c>
    </row>
    <row r="111" spans="2:28" x14ac:dyDescent="0.25">
      <c r="B111" s="7" t="s">
        <v>2713</v>
      </c>
      <c r="C111" s="1" t="s">
        <v>2713</v>
      </c>
      <c r="D111" s="8" t="s">
        <v>2713</v>
      </c>
      <c r="E111" s="1" t="s">
        <v>2713</v>
      </c>
      <c r="F111" s="1" t="s">
        <v>2713</v>
      </c>
      <c r="G111" s="1" t="s">
        <v>2713</v>
      </c>
      <c r="H111" s="1" t="s">
        <v>2713</v>
      </c>
      <c r="I111" s="1" t="s">
        <v>2713</v>
      </c>
      <c r="J111" s="1" t="s">
        <v>2713</v>
      </c>
      <c r="K111" s="1" t="s">
        <v>2713</v>
      </c>
      <c r="L111" s="1" t="s">
        <v>2713</v>
      </c>
      <c r="M111" s="1" t="s">
        <v>2713</v>
      </c>
      <c r="N111" s="1" t="s">
        <v>2713</v>
      </c>
      <c r="O111" s="1" t="s">
        <v>2713</v>
      </c>
      <c r="P111" s="1" t="s">
        <v>2713</v>
      </c>
      <c r="Q111" s="1" t="s">
        <v>2713</v>
      </c>
      <c r="R111" s="1" t="s">
        <v>2713</v>
      </c>
      <c r="S111" s="1" t="s">
        <v>2713</v>
      </c>
      <c r="T111" s="1" t="s">
        <v>2713</v>
      </c>
      <c r="U111" s="1" t="s">
        <v>2713</v>
      </c>
      <c r="V111" s="1" t="s">
        <v>2713</v>
      </c>
      <c r="W111" s="1" t="s">
        <v>2713</v>
      </c>
      <c r="X111" s="1" t="s">
        <v>2713</v>
      </c>
      <c r="Y111" s="1" t="s">
        <v>2713</v>
      </c>
      <c r="Z111" s="1" t="s">
        <v>2713</v>
      </c>
      <c r="AA111" s="1" t="s">
        <v>2713</v>
      </c>
      <c r="AB111" s="1" t="s">
        <v>2713</v>
      </c>
    </row>
    <row r="112" spans="2:28" ht="55.2" x14ac:dyDescent="0.25">
      <c r="B112" s="21" t="s">
        <v>2681</v>
      </c>
      <c r="C112" s="19" t="s">
        <v>1113</v>
      </c>
      <c r="D112" s="17"/>
      <c r="E112" s="2"/>
      <c r="F112" s="2"/>
      <c r="G112" s="2"/>
      <c r="H112" s="2"/>
      <c r="I112" s="2"/>
      <c r="J112" s="2"/>
      <c r="K112" s="3">
        <f>SUM('GMIC_2020-Annu_SCDPT5'!SCDPT5_87BEGIN_9:'GMIC_2020-Annu_SCDPT5'!SCDPT5_87ENDIN_9)</f>
        <v>0</v>
      </c>
      <c r="L112" s="3">
        <f>SUM('GMIC_2020-Annu_SCDPT5'!SCDPT5_87BEGIN_10:'GMIC_2020-Annu_SCDPT5'!SCDPT5_87ENDIN_10)</f>
        <v>0</v>
      </c>
      <c r="M112" s="3">
        <f>SUM('GMIC_2020-Annu_SCDPT5'!SCDPT5_87BEGIN_11:'GMIC_2020-Annu_SCDPT5'!SCDPT5_87ENDIN_11)</f>
        <v>0</v>
      </c>
      <c r="N112" s="3">
        <f>SUM('GMIC_2020-Annu_SCDPT5'!SCDPT5_87BEGIN_12:'GMIC_2020-Annu_SCDPT5'!SCDPT5_87ENDIN_12)</f>
        <v>0</v>
      </c>
      <c r="O112" s="3">
        <f>SUM('GMIC_2020-Annu_SCDPT5'!SCDPT5_87BEGIN_13:'GMIC_2020-Annu_SCDPT5'!SCDPT5_87ENDIN_13)</f>
        <v>0</v>
      </c>
      <c r="P112" s="3">
        <f>SUM('GMIC_2020-Annu_SCDPT5'!SCDPT5_87BEGIN_14:'GMIC_2020-Annu_SCDPT5'!SCDPT5_87ENDIN_14)</f>
        <v>0</v>
      </c>
      <c r="Q112" s="3">
        <f>SUM('GMIC_2020-Annu_SCDPT5'!SCDPT5_87BEGIN_15:'GMIC_2020-Annu_SCDPT5'!SCDPT5_87ENDIN_15)</f>
        <v>0</v>
      </c>
      <c r="R112" s="3">
        <f>SUM('GMIC_2020-Annu_SCDPT5'!SCDPT5_87BEGIN_16:'GMIC_2020-Annu_SCDPT5'!SCDPT5_87ENDIN_16)</f>
        <v>0</v>
      </c>
      <c r="S112" s="3">
        <f>SUM('GMIC_2020-Annu_SCDPT5'!SCDPT5_87BEGIN_17:'GMIC_2020-Annu_SCDPT5'!SCDPT5_87ENDIN_17)</f>
        <v>0</v>
      </c>
      <c r="T112" s="3">
        <f>SUM('GMIC_2020-Annu_SCDPT5'!SCDPT5_87BEGIN_18:'GMIC_2020-Annu_SCDPT5'!SCDPT5_87ENDIN_18)</f>
        <v>0</v>
      </c>
      <c r="U112" s="3">
        <f>SUM('GMIC_2020-Annu_SCDPT5'!SCDPT5_87BEGIN_19:'GMIC_2020-Annu_SCDPT5'!SCDPT5_87ENDIN_19)</f>
        <v>0</v>
      </c>
      <c r="V112" s="3">
        <f>SUM('GMIC_2020-Annu_SCDPT5'!SCDPT5_87BEGIN_20:'GMIC_2020-Annu_SCDPT5'!SCDPT5_87ENDIN_20)</f>
        <v>0</v>
      </c>
      <c r="W112" s="3">
        <f>SUM('GMIC_2020-Annu_SCDPT5'!SCDPT5_87BEGIN_21:'GMIC_2020-Annu_SCDPT5'!SCDPT5_87ENDIN_21)</f>
        <v>0</v>
      </c>
      <c r="X112" s="2"/>
      <c r="Y112" s="2"/>
      <c r="Z112" s="2"/>
      <c r="AA112" s="2"/>
      <c r="AB112" s="2"/>
    </row>
    <row r="113" spans="2:28" x14ac:dyDescent="0.25">
      <c r="B113" s="21" t="s">
        <v>4406</v>
      </c>
      <c r="C113" s="19" t="s">
        <v>3799</v>
      </c>
      <c r="D113" s="17"/>
      <c r="E113" s="2"/>
      <c r="F113" s="2"/>
      <c r="G113" s="2"/>
      <c r="H113" s="2"/>
      <c r="I113" s="2"/>
      <c r="J113" s="2"/>
      <c r="K113" s="3">
        <f>'GMIC_2020-Annu_SCDPT5'!SCDPT5_8499999_9+'GMIC_2020-Annu_SCDPT5'!SCDPT5_8599999_9+'GMIC_2020-Annu_SCDPT5'!SCDPT5_8699999_9+'GMIC_2020-Annu_SCDPT5'!SCDPT5_8799999_9</f>
        <v>0</v>
      </c>
      <c r="L113" s="3">
        <f>'GMIC_2020-Annu_SCDPT5'!SCDPT5_8499999_10+'GMIC_2020-Annu_SCDPT5'!SCDPT5_8599999_10+'GMIC_2020-Annu_SCDPT5'!SCDPT5_8699999_10+'GMIC_2020-Annu_SCDPT5'!SCDPT5_8799999_10</f>
        <v>0</v>
      </c>
      <c r="M113" s="3">
        <f>'GMIC_2020-Annu_SCDPT5'!SCDPT5_8499999_11+'GMIC_2020-Annu_SCDPT5'!SCDPT5_8599999_11+'GMIC_2020-Annu_SCDPT5'!SCDPT5_8699999_11+'GMIC_2020-Annu_SCDPT5'!SCDPT5_8799999_11</f>
        <v>0</v>
      </c>
      <c r="N113" s="3">
        <f>'GMIC_2020-Annu_SCDPT5'!SCDPT5_8499999_12+'GMIC_2020-Annu_SCDPT5'!SCDPT5_8599999_12+'GMIC_2020-Annu_SCDPT5'!SCDPT5_8699999_12+'GMIC_2020-Annu_SCDPT5'!SCDPT5_8799999_12</f>
        <v>0</v>
      </c>
      <c r="O113" s="3">
        <f>'GMIC_2020-Annu_SCDPT5'!SCDPT5_8499999_13+'GMIC_2020-Annu_SCDPT5'!SCDPT5_8599999_13+'GMIC_2020-Annu_SCDPT5'!SCDPT5_8699999_13+'GMIC_2020-Annu_SCDPT5'!SCDPT5_8799999_13</f>
        <v>0</v>
      </c>
      <c r="P113" s="3">
        <f>'GMIC_2020-Annu_SCDPT5'!SCDPT5_8499999_14+'GMIC_2020-Annu_SCDPT5'!SCDPT5_8599999_14+'GMIC_2020-Annu_SCDPT5'!SCDPT5_8699999_14+'GMIC_2020-Annu_SCDPT5'!SCDPT5_8799999_14</f>
        <v>0</v>
      </c>
      <c r="Q113" s="3">
        <f>'GMIC_2020-Annu_SCDPT5'!SCDPT5_8499999_15+'GMIC_2020-Annu_SCDPT5'!SCDPT5_8599999_15+'GMIC_2020-Annu_SCDPT5'!SCDPT5_8699999_15+'GMIC_2020-Annu_SCDPT5'!SCDPT5_8799999_15</f>
        <v>0</v>
      </c>
      <c r="R113" s="3">
        <f>'GMIC_2020-Annu_SCDPT5'!SCDPT5_8499999_16+'GMIC_2020-Annu_SCDPT5'!SCDPT5_8599999_16+'GMIC_2020-Annu_SCDPT5'!SCDPT5_8699999_16+'GMIC_2020-Annu_SCDPT5'!SCDPT5_8799999_16</f>
        <v>0</v>
      </c>
      <c r="S113" s="3">
        <f>'GMIC_2020-Annu_SCDPT5'!SCDPT5_8499999_17+'GMIC_2020-Annu_SCDPT5'!SCDPT5_8599999_17+'GMIC_2020-Annu_SCDPT5'!SCDPT5_8699999_17+'GMIC_2020-Annu_SCDPT5'!SCDPT5_8799999_17</f>
        <v>0</v>
      </c>
      <c r="T113" s="3">
        <f>'GMIC_2020-Annu_SCDPT5'!SCDPT5_8499999_18+'GMIC_2020-Annu_SCDPT5'!SCDPT5_8599999_18+'GMIC_2020-Annu_SCDPT5'!SCDPT5_8699999_18+'GMIC_2020-Annu_SCDPT5'!SCDPT5_8799999_18</f>
        <v>0</v>
      </c>
      <c r="U113" s="3">
        <f>'GMIC_2020-Annu_SCDPT5'!SCDPT5_8499999_19+'GMIC_2020-Annu_SCDPT5'!SCDPT5_8599999_19+'GMIC_2020-Annu_SCDPT5'!SCDPT5_8699999_19+'GMIC_2020-Annu_SCDPT5'!SCDPT5_8799999_19</f>
        <v>0</v>
      </c>
      <c r="V113" s="3">
        <f>'GMIC_2020-Annu_SCDPT5'!SCDPT5_8499999_20+'GMIC_2020-Annu_SCDPT5'!SCDPT5_8599999_20+'GMIC_2020-Annu_SCDPT5'!SCDPT5_8699999_20+'GMIC_2020-Annu_SCDPT5'!SCDPT5_8799999_20</f>
        <v>0</v>
      </c>
      <c r="W113" s="3">
        <f>'GMIC_2020-Annu_SCDPT5'!SCDPT5_8499999_21+'GMIC_2020-Annu_SCDPT5'!SCDPT5_8599999_21+'GMIC_2020-Annu_SCDPT5'!SCDPT5_8699999_21+'GMIC_2020-Annu_SCDPT5'!SCDPT5_8799999_21</f>
        <v>0</v>
      </c>
      <c r="X113" s="2"/>
      <c r="Y113" s="2"/>
      <c r="Z113" s="2"/>
      <c r="AA113" s="2"/>
      <c r="AB113" s="2"/>
    </row>
    <row r="114" spans="2:28" x14ac:dyDescent="0.25">
      <c r="B114" s="7" t="s">
        <v>2713</v>
      </c>
      <c r="C114" s="1" t="s">
        <v>2713</v>
      </c>
      <c r="D114" s="8" t="s">
        <v>2713</v>
      </c>
      <c r="E114" s="1" t="s">
        <v>2713</v>
      </c>
      <c r="F114" s="1" t="s">
        <v>2713</v>
      </c>
      <c r="G114" s="1" t="s">
        <v>2713</v>
      </c>
      <c r="H114" s="1" t="s">
        <v>2713</v>
      </c>
      <c r="I114" s="1" t="s">
        <v>2713</v>
      </c>
      <c r="J114" s="1" t="s">
        <v>2713</v>
      </c>
      <c r="K114" s="1" t="s">
        <v>2713</v>
      </c>
      <c r="L114" s="1" t="s">
        <v>2713</v>
      </c>
      <c r="M114" s="1" t="s">
        <v>2713</v>
      </c>
      <c r="N114" s="1" t="s">
        <v>2713</v>
      </c>
      <c r="O114" s="1" t="s">
        <v>2713</v>
      </c>
      <c r="P114" s="1" t="s">
        <v>2713</v>
      </c>
      <c r="Q114" s="1" t="s">
        <v>2713</v>
      </c>
      <c r="R114" s="1" t="s">
        <v>2713</v>
      </c>
      <c r="S114" s="1" t="s">
        <v>2713</v>
      </c>
      <c r="T114" s="1" t="s">
        <v>2713</v>
      </c>
      <c r="U114" s="1" t="s">
        <v>2713</v>
      </c>
      <c r="V114" s="1" t="s">
        <v>2713</v>
      </c>
      <c r="W114" s="1" t="s">
        <v>2713</v>
      </c>
      <c r="X114" s="1" t="s">
        <v>2713</v>
      </c>
      <c r="Y114" s="1" t="s">
        <v>2713</v>
      </c>
      <c r="Z114" s="1" t="s">
        <v>2713</v>
      </c>
      <c r="AA114" s="1" t="s">
        <v>2713</v>
      </c>
      <c r="AB114" s="1" t="s">
        <v>2713</v>
      </c>
    </row>
    <row r="115" spans="2:28" x14ac:dyDescent="0.25">
      <c r="B115" s="18" t="s">
        <v>182</v>
      </c>
      <c r="C115" s="25" t="s">
        <v>3846</v>
      </c>
      <c r="D115" s="20" t="s">
        <v>3</v>
      </c>
      <c r="E115" s="22" t="s">
        <v>3</v>
      </c>
      <c r="F115" s="6"/>
      <c r="G115" s="5" t="s">
        <v>3</v>
      </c>
      <c r="H115" s="6"/>
      <c r="I115" s="5" t="s">
        <v>3</v>
      </c>
      <c r="J115" s="28"/>
      <c r="K115" s="4"/>
      <c r="L115" s="4"/>
      <c r="M115" s="4"/>
      <c r="N115" s="4"/>
      <c r="O115" s="4"/>
      <c r="P115" s="4"/>
      <c r="Q115" s="24"/>
      <c r="R115" s="4"/>
      <c r="S115" s="4"/>
      <c r="T115" s="4"/>
      <c r="U115" s="24"/>
      <c r="V115" s="4"/>
      <c r="W115" s="4"/>
      <c r="X115" s="2"/>
      <c r="Y115" s="5" t="s">
        <v>3</v>
      </c>
      <c r="Z115" s="5" t="s">
        <v>3</v>
      </c>
      <c r="AA115" s="5" t="s">
        <v>3</v>
      </c>
      <c r="AB115" s="16" t="s">
        <v>3</v>
      </c>
    </row>
    <row r="116" spans="2:28" x14ac:dyDescent="0.25">
      <c r="B116" s="7" t="s">
        <v>2713</v>
      </c>
      <c r="C116" s="1" t="s">
        <v>2713</v>
      </c>
      <c r="D116" s="8" t="s">
        <v>2713</v>
      </c>
      <c r="E116" s="1" t="s">
        <v>2713</v>
      </c>
      <c r="F116" s="1" t="s">
        <v>2713</v>
      </c>
      <c r="G116" s="1" t="s">
        <v>2713</v>
      </c>
      <c r="H116" s="1" t="s">
        <v>2713</v>
      </c>
      <c r="I116" s="1" t="s">
        <v>2713</v>
      </c>
      <c r="J116" s="1" t="s">
        <v>2713</v>
      </c>
      <c r="K116" s="1" t="s">
        <v>2713</v>
      </c>
      <c r="L116" s="1" t="s">
        <v>2713</v>
      </c>
      <c r="M116" s="1" t="s">
        <v>2713</v>
      </c>
      <c r="N116" s="1" t="s">
        <v>2713</v>
      </c>
      <c r="O116" s="1" t="s">
        <v>2713</v>
      </c>
      <c r="P116" s="1" t="s">
        <v>2713</v>
      </c>
      <c r="Q116" s="1" t="s">
        <v>2713</v>
      </c>
      <c r="R116" s="1" t="s">
        <v>2713</v>
      </c>
      <c r="S116" s="1" t="s">
        <v>2713</v>
      </c>
      <c r="T116" s="1" t="s">
        <v>2713</v>
      </c>
      <c r="U116" s="1" t="s">
        <v>2713</v>
      </c>
      <c r="V116" s="1" t="s">
        <v>2713</v>
      </c>
      <c r="W116" s="1" t="s">
        <v>2713</v>
      </c>
      <c r="X116" s="1" t="s">
        <v>2713</v>
      </c>
      <c r="Y116" s="1" t="s">
        <v>2713</v>
      </c>
      <c r="Z116" s="1" t="s">
        <v>2713</v>
      </c>
      <c r="AA116" s="1" t="s">
        <v>2713</v>
      </c>
      <c r="AB116" s="1" t="s">
        <v>2713</v>
      </c>
    </row>
    <row r="117" spans="2:28" ht="41.4" x14ac:dyDescent="0.25">
      <c r="B117" s="21" t="s">
        <v>1908</v>
      </c>
      <c r="C117" s="19" t="s">
        <v>523</v>
      </c>
      <c r="D117" s="17"/>
      <c r="E117" s="2"/>
      <c r="F117" s="2"/>
      <c r="G117" s="2"/>
      <c r="H117" s="2"/>
      <c r="I117" s="2"/>
      <c r="J117" s="2"/>
      <c r="K117" s="3">
        <f>SUM('GMIC_2020-Annu_SCDPT5'!SCDPT5_90BEGIN_9:'GMIC_2020-Annu_SCDPT5'!SCDPT5_90ENDIN_9)</f>
        <v>0</v>
      </c>
      <c r="L117" s="3">
        <f>SUM('GMIC_2020-Annu_SCDPT5'!SCDPT5_90BEGIN_10:'GMIC_2020-Annu_SCDPT5'!SCDPT5_90ENDIN_10)</f>
        <v>0</v>
      </c>
      <c r="M117" s="3">
        <f>SUM('GMIC_2020-Annu_SCDPT5'!SCDPT5_90BEGIN_11:'GMIC_2020-Annu_SCDPT5'!SCDPT5_90ENDIN_11)</f>
        <v>0</v>
      </c>
      <c r="N117" s="3">
        <f>SUM('GMIC_2020-Annu_SCDPT5'!SCDPT5_90BEGIN_12:'GMIC_2020-Annu_SCDPT5'!SCDPT5_90ENDIN_12)</f>
        <v>0</v>
      </c>
      <c r="O117" s="3">
        <f>SUM('GMIC_2020-Annu_SCDPT5'!SCDPT5_90BEGIN_13:'GMIC_2020-Annu_SCDPT5'!SCDPT5_90ENDIN_13)</f>
        <v>0</v>
      </c>
      <c r="P117" s="3">
        <f>SUM('GMIC_2020-Annu_SCDPT5'!SCDPT5_90BEGIN_14:'GMIC_2020-Annu_SCDPT5'!SCDPT5_90ENDIN_14)</f>
        <v>0</v>
      </c>
      <c r="Q117" s="3">
        <f>SUM('GMIC_2020-Annu_SCDPT5'!SCDPT5_90BEGIN_15:'GMIC_2020-Annu_SCDPT5'!SCDPT5_90ENDIN_15)</f>
        <v>0</v>
      </c>
      <c r="R117" s="3">
        <f>SUM('GMIC_2020-Annu_SCDPT5'!SCDPT5_90BEGIN_16:'GMIC_2020-Annu_SCDPT5'!SCDPT5_90ENDIN_16)</f>
        <v>0</v>
      </c>
      <c r="S117" s="3">
        <f>SUM('GMIC_2020-Annu_SCDPT5'!SCDPT5_90BEGIN_17:'GMIC_2020-Annu_SCDPT5'!SCDPT5_90ENDIN_17)</f>
        <v>0</v>
      </c>
      <c r="T117" s="3">
        <f>SUM('GMIC_2020-Annu_SCDPT5'!SCDPT5_90BEGIN_18:'GMIC_2020-Annu_SCDPT5'!SCDPT5_90ENDIN_18)</f>
        <v>0</v>
      </c>
      <c r="U117" s="3">
        <f>SUM('GMIC_2020-Annu_SCDPT5'!SCDPT5_90BEGIN_19:'GMIC_2020-Annu_SCDPT5'!SCDPT5_90ENDIN_19)</f>
        <v>0</v>
      </c>
      <c r="V117" s="3">
        <f>SUM('GMIC_2020-Annu_SCDPT5'!SCDPT5_90BEGIN_20:'GMIC_2020-Annu_SCDPT5'!SCDPT5_90ENDIN_20)</f>
        <v>0</v>
      </c>
      <c r="W117" s="3">
        <f>SUM('GMIC_2020-Annu_SCDPT5'!SCDPT5_90BEGIN_21:'GMIC_2020-Annu_SCDPT5'!SCDPT5_90ENDIN_21)</f>
        <v>0</v>
      </c>
      <c r="X117" s="2"/>
      <c r="Y117" s="2"/>
      <c r="Z117" s="2"/>
      <c r="AA117" s="2"/>
      <c r="AB117" s="2"/>
    </row>
    <row r="118" spans="2:28" x14ac:dyDescent="0.25">
      <c r="B118" s="7" t="s">
        <v>2713</v>
      </c>
      <c r="C118" s="1" t="s">
        <v>2713</v>
      </c>
      <c r="D118" s="8" t="s">
        <v>2713</v>
      </c>
      <c r="E118" s="1" t="s">
        <v>2713</v>
      </c>
      <c r="F118" s="1" t="s">
        <v>2713</v>
      </c>
      <c r="G118" s="1" t="s">
        <v>2713</v>
      </c>
      <c r="H118" s="1" t="s">
        <v>2713</v>
      </c>
      <c r="I118" s="1" t="s">
        <v>2713</v>
      </c>
      <c r="J118" s="1" t="s">
        <v>2713</v>
      </c>
      <c r="K118" s="1" t="s">
        <v>2713</v>
      </c>
      <c r="L118" s="1" t="s">
        <v>2713</v>
      </c>
      <c r="M118" s="1" t="s">
        <v>2713</v>
      </c>
      <c r="N118" s="1" t="s">
        <v>2713</v>
      </c>
      <c r="O118" s="1" t="s">
        <v>2713</v>
      </c>
      <c r="P118" s="1" t="s">
        <v>2713</v>
      </c>
      <c r="Q118" s="1" t="s">
        <v>2713</v>
      </c>
      <c r="R118" s="1" t="s">
        <v>2713</v>
      </c>
      <c r="S118" s="1" t="s">
        <v>2713</v>
      </c>
      <c r="T118" s="1" t="s">
        <v>2713</v>
      </c>
      <c r="U118" s="1" t="s">
        <v>2713</v>
      </c>
      <c r="V118" s="1" t="s">
        <v>2713</v>
      </c>
      <c r="W118" s="1" t="s">
        <v>2713</v>
      </c>
      <c r="X118" s="1" t="s">
        <v>2713</v>
      </c>
      <c r="Y118" s="1" t="s">
        <v>2713</v>
      </c>
      <c r="Z118" s="1" t="s">
        <v>2713</v>
      </c>
      <c r="AA118" s="1" t="s">
        <v>2713</v>
      </c>
      <c r="AB118" s="1" t="s">
        <v>2713</v>
      </c>
    </row>
    <row r="119" spans="2:28" x14ac:dyDescent="0.25">
      <c r="B119" s="18" t="s">
        <v>4115</v>
      </c>
      <c r="C119" s="25" t="s">
        <v>3846</v>
      </c>
      <c r="D119" s="20" t="s">
        <v>3</v>
      </c>
      <c r="E119" s="22" t="s">
        <v>3</v>
      </c>
      <c r="F119" s="6"/>
      <c r="G119" s="5" t="s">
        <v>3</v>
      </c>
      <c r="H119" s="6"/>
      <c r="I119" s="5" t="s">
        <v>3</v>
      </c>
      <c r="J119" s="28"/>
      <c r="K119" s="4"/>
      <c r="L119" s="4"/>
      <c r="M119" s="4"/>
      <c r="N119" s="4"/>
      <c r="O119" s="4"/>
      <c r="P119" s="4"/>
      <c r="Q119" s="24"/>
      <c r="R119" s="4"/>
      <c r="S119" s="4"/>
      <c r="T119" s="4"/>
      <c r="U119" s="24"/>
      <c r="V119" s="4"/>
      <c r="W119" s="4"/>
      <c r="X119" s="2"/>
      <c r="Y119" s="5" t="s">
        <v>3</v>
      </c>
      <c r="Z119" s="5" t="s">
        <v>3</v>
      </c>
      <c r="AA119" s="5" t="s">
        <v>3</v>
      </c>
      <c r="AB119" s="16" t="s">
        <v>3</v>
      </c>
    </row>
    <row r="120" spans="2:28" x14ac:dyDescent="0.25">
      <c r="B120" s="7" t="s">
        <v>2713</v>
      </c>
      <c r="C120" s="1" t="s">
        <v>2713</v>
      </c>
      <c r="D120" s="8" t="s">
        <v>2713</v>
      </c>
      <c r="E120" s="1" t="s">
        <v>2713</v>
      </c>
      <c r="F120" s="1" t="s">
        <v>2713</v>
      </c>
      <c r="G120" s="1" t="s">
        <v>2713</v>
      </c>
      <c r="H120" s="1" t="s">
        <v>2713</v>
      </c>
      <c r="I120" s="1" t="s">
        <v>2713</v>
      </c>
      <c r="J120" s="1" t="s">
        <v>2713</v>
      </c>
      <c r="K120" s="1" t="s">
        <v>2713</v>
      </c>
      <c r="L120" s="1" t="s">
        <v>2713</v>
      </c>
      <c r="M120" s="1" t="s">
        <v>2713</v>
      </c>
      <c r="N120" s="1" t="s">
        <v>2713</v>
      </c>
      <c r="O120" s="1" t="s">
        <v>2713</v>
      </c>
      <c r="P120" s="1" t="s">
        <v>2713</v>
      </c>
      <c r="Q120" s="1" t="s">
        <v>2713</v>
      </c>
      <c r="R120" s="1" t="s">
        <v>2713</v>
      </c>
      <c r="S120" s="1" t="s">
        <v>2713</v>
      </c>
      <c r="T120" s="1" t="s">
        <v>2713</v>
      </c>
      <c r="U120" s="1" t="s">
        <v>2713</v>
      </c>
      <c r="V120" s="1" t="s">
        <v>2713</v>
      </c>
      <c r="W120" s="1" t="s">
        <v>2713</v>
      </c>
      <c r="X120" s="1" t="s">
        <v>2713</v>
      </c>
      <c r="Y120" s="1" t="s">
        <v>2713</v>
      </c>
      <c r="Z120" s="1" t="s">
        <v>2713</v>
      </c>
      <c r="AA120" s="1" t="s">
        <v>2713</v>
      </c>
      <c r="AB120" s="1" t="s">
        <v>2713</v>
      </c>
    </row>
    <row r="121" spans="2:28" ht="41.4" x14ac:dyDescent="0.25">
      <c r="B121" s="21" t="s">
        <v>1099</v>
      </c>
      <c r="C121" s="19" t="s">
        <v>3031</v>
      </c>
      <c r="D121" s="17"/>
      <c r="E121" s="2"/>
      <c r="F121" s="2"/>
      <c r="G121" s="2"/>
      <c r="H121" s="2"/>
      <c r="I121" s="2"/>
      <c r="J121" s="2"/>
      <c r="K121" s="3">
        <f>SUM('GMIC_2020-Annu_SCDPT5'!SCDPT5_91BEGIN_9:'GMIC_2020-Annu_SCDPT5'!SCDPT5_91ENDIN_9)</f>
        <v>0</v>
      </c>
      <c r="L121" s="3">
        <f>SUM('GMIC_2020-Annu_SCDPT5'!SCDPT5_91BEGIN_10:'GMIC_2020-Annu_SCDPT5'!SCDPT5_91ENDIN_10)</f>
        <v>0</v>
      </c>
      <c r="M121" s="3">
        <f>SUM('GMIC_2020-Annu_SCDPT5'!SCDPT5_91BEGIN_11:'GMIC_2020-Annu_SCDPT5'!SCDPT5_91ENDIN_11)</f>
        <v>0</v>
      </c>
      <c r="N121" s="3">
        <f>SUM('GMIC_2020-Annu_SCDPT5'!SCDPT5_91BEGIN_12:'GMIC_2020-Annu_SCDPT5'!SCDPT5_91ENDIN_12)</f>
        <v>0</v>
      </c>
      <c r="O121" s="3">
        <f>SUM('GMIC_2020-Annu_SCDPT5'!SCDPT5_91BEGIN_13:'GMIC_2020-Annu_SCDPT5'!SCDPT5_91ENDIN_13)</f>
        <v>0</v>
      </c>
      <c r="P121" s="3">
        <f>SUM('GMIC_2020-Annu_SCDPT5'!SCDPT5_91BEGIN_14:'GMIC_2020-Annu_SCDPT5'!SCDPT5_91ENDIN_14)</f>
        <v>0</v>
      </c>
      <c r="Q121" s="3">
        <f>SUM('GMIC_2020-Annu_SCDPT5'!SCDPT5_91BEGIN_15:'GMIC_2020-Annu_SCDPT5'!SCDPT5_91ENDIN_15)</f>
        <v>0</v>
      </c>
      <c r="R121" s="3">
        <f>SUM('GMIC_2020-Annu_SCDPT5'!SCDPT5_91BEGIN_16:'GMIC_2020-Annu_SCDPT5'!SCDPT5_91ENDIN_16)</f>
        <v>0</v>
      </c>
      <c r="S121" s="3">
        <f>SUM('GMIC_2020-Annu_SCDPT5'!SCDPT5_91BEGIN_17:'GMIC_2020-Annu_SCDPT5'!SCDPT5_91ENDIN_17)</f>
        <v>0</v>
      </c>
      <c r="T121" s="3">
        <f>SUM('GMIC_2020-Annu_SCDPT5'!SCDPT5_91BEGIN_18:'GMIC_2020-Annu_SCDPT5'!SCDPT5_91ENDIN_18)</f>
        <v>0</v>
      </c>
      <c r="U121" s="3">
        <f>SUM('GMIC_2020-Annu_SCDPT5'!SCDPT5_91BEGIN_19:'GMIC_2020-Annu_SCDPT5'!SCDPT5_91ENDIN_19)</f>
        <v>0</v>
      </c>
      <c r="V121" s="3">
        <f>SUM('GMIC_2020-Annu_SCDPT5'!SCDPT5_91BEGIN_20:'GMIC_2020-Annu_SCDPT5'!SCDPT5_91ENDIN_20)</f>
        <v>0</v>
      </c>
      <c r="W121" s="3">
        <f>SUM('GMIC_2020-Annu_SCDPT5'!SCDPT5_91BEGIN_21:'GMIC_2020-Annu_SCDPT5'!SCDPT5_91ENDIN_21)</f>
        <v>0</v>
      </c>
      <c r="X121" s="2"/>
      <c r="Y121" s="2"/>
      <c r="Z121" s="2"/>
      <c r="AA121" s="2"/>
      <c r="AB121" s="2"/>
    </row>
    <row r="122" spans="2:28" x14ac:dyDescent="0.25">
      <c r="B122" s="7" t="s">
        <v>2713</v>
      </c>
      <c r="C122" s="1" t="s">
        <v>2713</v>
      </c>
      <c r="D122" s="8" t="s">
        <v>2713</v>
      </c>
      <c r="E122" s="1" t="s">
        <v>2713</v>
      </c>
      <c r="F122" s="1" t="s">
        <v>2713</v>
      </c>
      <c r="G122" s="1" t="s">
        <v>2713</v>
      </c>
      <c r="H122" s="1" t="s">
        <v>2713</v>
      </c>
      <c r="I122" s="1" t="s">
        <v>2713</v>
      </c>
      <c r="J122" s="1" t="s">
        <v>2713</v>
      </c>
      <c r="K122" s="1" t="s">
        <v>2713</v>
      </c>
      <c r="L122" s="1" t="s">
        <v>2713</v>
      </c>
      <c r="M122" s="1" t="s">
        <v>2713</v>
      </c>
      <c r="N122" s="1" t="s">
        <v>2713</v>
      </c>
      <c r="O122" s="1" t="s">
        <v>2713</v>
      </c>
      <c r="P122" s="1" t="s">
        <v>2713</v>
      </c>
      <c r="Q122" s="1" t="s">
        <v>2713</v>
      </c>
      <c r="R122" s="1" t="s">
        <v>2713</v>
      </c>
      <c r="S122" s="1" t="s">
        <v>2713</v>
      </c>
      <c r="T122" s="1" t="s">
        <v>2713</v>
      </c>
      <c r="U122" s="1" t="s">
        <v>2713</v>
      </c>
      <c r="V122" s="1" t="s">
        <v>2713</v>
      </c>
      <c r="W122" s="1" t="s">
        <v>2713</v>
      </c>
      <c r="X122" s="1" t="s">
        <v>2713</v>
      </c>
      <c r="Y122" s="1" t="s">
        <v>2713</v>
      </c>
      <c r="Z122" s="1" t="s">
        <v>2713</v>
      </c>
      <c r="AA122" s="1" t="s">
        <v>2713</v>
      </c>
      <c r="AB122" s="1" t="s">
        <v>2713</v>
      </c>
    </row>
    <row r="123" spans="2:28" x14ac:dyDescent="0.25">
      <c r="B123" s="18" t="s">
        <v>3259</v>
      </c>
      <c r="C123" s="25" t="s">
        <v>3846</v>
      </c>
      <c r="D123" s="20" t="s">
        <v>3</v>
      </c>
      <c r="E123" s="22" t="s">
        <v>3</v>
      </c>
      <c r="F123" s="6"/>
      <c r="G123" s="5" t="s">
        <v>3</v>
      </c>
      <c r="H123" s="6"/>
      <c r="I123" s="5" t="s">
        <v>3</v>
      </c>
      <c r="J123" s="28"/>
      <c r="K123" s="4"/>
      <c r="L123" s="4"/>
      <c r="M123" s="4"/>
      <c r="N123" s="4"/>
      <c r="O123" s="4"/>
      <c r="P123" s="4"/>
      <c r="Q123" s="24"/>
      <c r="R123" s="4"/>
      <c r="S123" s="4"/>
      <c r="T123" s="4"/>
      <c r="U123" s="24"/>
      <c r="V123" s="4"/>
      <c r="W123" s="4"/>
      <c r="X123" s="2"/>
      <c r="Y123" s="5" t="s">
        <v>3</v>
      </c>
      <c r="Z123" s="5" t="s">
        <v>3</v>
      </c>
      <c r="AA123" s="5" t="s">
        <v>3</v>
      </c>
      <c r="AB123" s="16" t="s">
        <v>3</v>
      </c>
    </row>
    <row r="124" spans="2:28" x14ac:dyDescent="0.25">
      <c r="B124" s="7" t="s">
        <v>2713</v>
      </c>
      <c r="C124" s="1" t="s">
        <v>2713</v>
      </c>
      <c r="D124" s="8" t="s">
        <v>2713</v>
      </c>
      <c r="E124" s="1" t="s">
        <v>2713</v>
      </c>
      <c r="F124" s="1" t="s">
        <v>2713</v>
      </c>
      <c r="G124" s="1" t="s">
        <v>2713</v>
      </c>
      <c r="H124" s="1" t="s">
        <v>2713</v>
      </c>
      <c r="I124" s="1" t="s">
        <v>2713</v>
      </c>
      <c r="J124" s="1" t="s">
        <v>2713</v>
      </c>
      <c r="K124" s="1" t="s">
        <v>2713</v>
      </c>
      <c r="L124" s="1" t="s">
        <v>2713</v>
      </c>
      <c r="M124" s="1" t="s">
        <v>2713</v>
      </c>
      <c r="N124" s="1" t="s">
        <v>2713</v>
      </c>
      <c r="O124" s="1" t="s">
        <v>2713</v>
      </c>
      <c r="P124" s="1" t="s">
        <v>2713</v>
      </c>
      <c r="Q124" s="1" t="s">
        <v>2713</v>
      </c>
      <c r="R124" s="1" t="s">
        <v>2713</v>
      </c>
      <c r="S124" s="1" t="s">
        <v>2713</v>
      </c>
      <c r="T124" s="1" t="s">
        <v>2713</v>
      </c>
      <c r="U124" s="1" t="s">
        <v>2713</v>
      </c>
      <c r="V124" s="1" t="s">
        <v>2713</v>
      </c>
      <c r="W124" s="1" t="s">
        <v>2713</v>
      </c>
      <c r="X124" s="1" t="s">
        <v>2713</v>
      </c>
      <c r="Y124" s="1" t="s">
        <v>2713</v>
      </c>
      <c r="Z124" s="1" t="s">
        <v>2713</v>
      </c>
      <c r="AA124" s="1" t="s">
        <v>2713</v>
      </c>
      <c r="AB124" s="1" t="s">
        <v>2713</v>
      </c>
    </row>
    <row r="125" spans="2:28" ht="41.4" x14ac:dyDescent="0.25">
      <c r="B125" s="21" t="s">
        <v>183</v>
      </c>
      <c r="C125" s="19" t="s">
        <v>3032</v>
      </c>
      <c r="D125" s="17"/>
      <c r="E125" s="2"/>
      <c r="F125" s="2"/>
      <c r="G125" s="2"/>
      <c r="H125" s="2"/>
      <c r="I125" s="2"/>
      <c r="J125" s="2"/>
      <c r="K125" s="3">
        <f>SUM('GMIC_2020-Annu_SCDPT5'!SCDPT5_92BEGIN_9:'GMIC_2020-Annu_SCDPT5'!SCDPT5_92ENDIN_9)</f>
        <v>0</v>
      </c>
      <c r="L125" s="3">
        <f>SUM('GMIC_2020-Annu_SCDPT5'!SCDPT5_92BEGIN_10:'GMIC_2020-Annu_SCDPT5'!SCDPT5_92ENDIN_10)</f>
        <v>0</v>
      </c>
      <c r="M125" s="3">
        <f>SUM('GMIC_2020-Annu_SCDPT5'!SCDPT5_92BEGIN_11:'GMIC_2020-Annu_SCDPT5'!SCDPT5_92ENDIN_11)</f>
        <v>0</v>
      </c>
      <c r="N125" s="3">
        <f>SUM('GMIC_2020-Annu_SCDPT5'!SCDPT5_92BEGIN_12:'GMIC_2020-Annu_SCDPT5'!SCDPT5_92ENDIN_12)</f>
        <v>0</v>
      </c>
      <c r="O125" s="3">
        <f>SUM('GMIC_2020-Annu_SCDPT5'!SCDPT5_92BEGIN_13:'GMIC_2020-Annu_SCDPT5'!SCDPT5_92ENDIN_13)</f>
        <v>0</v>
      </c>
      <c r="P125" s="3">
        <f>SUM('GMIC_2020-Annu_SCDPT5'!SCDPT5_92BEGIN_14:'GMIC_2020-Annu_SCDPT5'!SCDPT5_92ENDIN_14)</f>
        <v>0</v>
      </c>
      <c r="Q125" s="3">
        <f>SUM('GMIC_2020-Annu_SCDPT5'!SCDPT5_92BEGIN_15:'GMIC_2020-Annu_SCDPT5'!SCDPT5_92ENDIN_15)</f>
        <v>0</v>
      </c>
      <c r="R125" s="3">
        <f>SUM('GMIC_2020-Annu_SCDPT5'!SCDPT5_92BEGIN_16:'GMIC_2020-Annu_SCDPT5'!SCDPT5_92ENDIN_16)</f>
        <v>0</v>
      </c>
      <c r="S125" s="3">
        <f>SUM('GMIC_2020-Annu_SCDPT5'!SCDPT5_92BEGIN_17:'GMIC_2020-Annu_SCDPT5'!SCDPT5_92ENDIN_17)</f>
        <v>0</v>
      </c>
      <c r="T125" s="3">
        <f>SUM('GMIC_2020-Annu_SCDPT5'!SCDPT5_92BEGIN_18:'GMIC_2020-Annu_SCDPT5'!SCDPT5_92ENDIN_18)</f>
        <v>0</v>
      </c>
      <c r="U125" s="3">
        <f>SUM('GMIC_2020-Annu_SCDPT5'!SCDPT5_92BEGIN_19:'GMIC_2020-Annu_SCDPT5'!SCDPT5_92ENDIN_19)</f>
        <v>0</v>
      </c>
      <c r="V125" s="3">
        <f>SUM('GMIC_2020-Annu_SCDPT5'!SCDPT5_92BEGIN_20:'GMIC_2020-Annu_SCDPT5'!SCDPT5_92ENDIN_20)</f>
        <v>0</v>
      </c>
      <c r="W125" s="3">
        <f>SUM('GMIC_2020-Annu_SCDPT5'!SCDPT5_92BEGIN_21:'GMIC_2020-Annu_SCDPT5'!SCDPT5_92ENDIN_21)</f>
        <v>0</v>
      </c>
      <c r="X125" s="2"/>
      <c r="Y125" s="2"/>
      <c r="Z125" s="2"/>
      <c r="AA125" s="2"/>
      <c r="AB125" s="2"/>
    </row>
    <row r="126" spans="2:28" x14ac:dyDescent="0.25">
      <c r="B126" s="7" t="s">
        <v>2713</v>
      </c>
      <c r="C126" s="1" t="s">
        <v>2713</v>
      </c>
      <c r="D126" s="8" t="s">
        <v>2713</v>
      </c>
      <c r="E126" s="1" t="s">
        <v>2713</v>
      </c>
      <c r="F126" s="1" t="s">
        <v>2713</v>
      </c>
      <c r="G126" s="1" t="s">
        <v>2713</v>
      </c>
      <c r="H126" s="1" t="s">
        <v>2713</v>
      </c>
      <c r="I126" s="1" t="s">
        <v>2713</v>
      </c>
      <c r="J126" s="1" t="s">
        <v>2713</v>
      </c>
      <c r="K126" s="1" t="s">
        <v>2713</v>
      </c>
      <c r="L126" s="1" t="s">
        <v>2713</v>
      </c>
      <c r="M126" s="1" t="s">
        <v>2713</v>
      </c>
      <c r="N126" s="1" t="s">
        <v>2713</v>
      </c>
      <c r="O126" s="1" t="s">
        <v>2713</v>
      </c>
      <c r="P126" s="1" t="s">
        <v>2713</v>
      </c>
      <c r="Q126" s="1" t="s">
        <v>2713</v>
      </c>
      <c r="R126" s="1" t="s">
        <v>2713</v>
      </c>
      <c r="S126" s="1" t="s">
        <v>2713</v>
      </c>
      <c r="T126" s="1" t="s">
        <v>2713</v>
      </c>
      <c r="U126" s="1" t="s">
        <v>2713</v>
      </c>
      <c r="V126" s="1" t="s">
        <v>2713</v>
      </c>
      <c r="W126" s="1" t="s">
        <v>2713</v>
      </c>
      <c r="X126" s="1" t="s">
        <v>2713</v>
      </c>
      <c r="Y126" s="1" t="s">
        <v>2713</v>
      </c>
      <c r="Z126" s="1" t="s">
        <v>2713</v>
      </c>
      <c r="AA126" s="1" t="s">
        <v>2713</v>
      </c>
      <c r="AB126" s="1" t="s">
        <v>2713</v>
      </c>
    </row>
    <row r="127" spans="2:28" x14ac:dyDescent="0.25">
      <c r="B127" s="18" t="s">
        <v>2394</v>
      </c>
      <c r="C127" s="25" t="s">
        <v>3846</v>
      </c>
      <c r="D127" s="20" t="s">
        <v>3</v>
      </c>
      <c r="E127" s="22" t="s">
        <v>3</v>
      </c>
      <c r="F127" s="6"/>
      <c r="G127" s="5" t="s">
        <v>3</v>
      </c>
      <c r="H127" s="6"/>
      <c r="I127" s="5" t="s">
        <v>3</v>
      </c>
      <c r="J127" s="28"/>
      <c r="K127" s="4"/>
      <c r="L127" s="4"/>
      <c r="M127" s="4"/>
      <c r="N127" s="4"/>
      <c r="O127" s="4"/>
      <c r="P127" s="4"/>
      <c r="Q127" s="24"/>
      <c r="R127" s="4"/>
      <c r="S127" s="4"/>
      <c r="T127" s="4"/>
      <c r="U127" s="24"/>
      <c r="V127" s="4"/>
      <c r="W127" s="4"/>
      <c r="X127" s="2"/>
      <c r="Y127" s="5" t="s">
        <v>3</v>
      </c>
      <c r="Z127" s="5" t="s">
        <v>3</v>
      </c>
      <c r="AA127" s="5" t="s">
        <v>3</v>
      </c>
      <c r="AB127" s="16" t="s">
        <v>3</v>
      </c>
    </row>
    <row r="128" spans="2:28" x14ac:dyDescent="0.25">
      <c r="B128" s="7" t="s">
        <v>2713</v>
      </c>
      <c r="C128" s="1" t="s">
        <v>2713</v>
      </c>
      <c r="D128" s="8" t="s">
        <v>2713</v>
      </c>
      <c r="E128" s="1" t="s">
        <v>2713</v>
      </c>
      <c r="F128" s="1" t="s">
        <v>2713</v>
      </c>
      <c r="G128" s="1" t="s">
        <v>2713</v>
      </c>
      <c r="H128" s="1" t="s">
        <v>2713</v>
      </c>
      <c r="I128" s="1" t="s">
        <v>2713</v>
      </c>
      <c r="J128" s="1" t="s">
        <v>2713</v>
      </c>
      <c r="K128" s="1" t="s">
        <v>2713</v>
      </c>
      <c r="L128" s="1" t="s">
        <v>2713</v>
      </c>
      <c r="M128" s="1" t="s">
        <v>2713</v>
      </c>
      <c r="N128" s="1" t="s">
        <v>2713</v>
      </c>
      <c r="O128" s="1" t="s">
        <v>2713</v>
      </c>
      <c r="P128" s="1" t="s">
        <v>2713</v>
      </c>
      <c r="Q128" s="1" t="s">
        <v>2713</v>
      </c>
      <c r="R128" s="1" t="s">
        <v>2713</v>
      </c>
      <c r="S128" s="1" t="s">
        <v>2713</v>
      </c>
      <c r="T128" s="1" t="s">
        <v>2713</v>
      </c>
      <c r="U128" s="1" t="s">
        <v>2713</v>
      </c>
      <c r="V128" s="1" t="s">
        <v>2713</v>
      </c>
      <c r="W128" s="1" t="s">
        <v>2713</v>
      </c>
      <c r="X128" s="1" t="s">
        <v>2713</v>
      </c>
      <c r="Y128" s="1" t="s">
        <v>2713</v>
      </c>
      <c r="Z128" s="1" t="s">
        <v>2713</v>
      </c>
      <c r="AA128" s="1" t="s">
        <v>2713</v>
      </c>
      <c r="AB128" s="1" t="s">
        <v>2713</v>
      </c>
    </row>
    <row r="129" spans="2:28" ht="41.4" x14ac:dyDescent="0.25">
      <c r="B129" s="21" t="s">
        <v>3753</v>
      </c>
      <c r="C129" s="19" t="s">
        <v>3498</v>
      </c>
      <c r="D129" s="17"/>
      <c r="E129" s="2"/>
      <c r="F129" s="2"/>
      <c r="G129" s="2"/>
      <c r="H129" s="2"/>
      <c r="I129" s="2"/>
      <c r="J129" s="2"/>
      <c r="K129" s="3">
        <f>SUM('GMIC_2020-Annu_SCDPT5'!SCDPT5_93BEGIN_9:'GMIC_2020-Annu_SCDPT5'!SCDPT5_93ENDIN_9)</f>
        <v>0</v>
      </c>
      <c r="L129" s="3">
        <f>SUM('GMIC_2020-Annu_SCDPT5'!SCDPT5_93BEGIN_10:'GMIC_2020-Annu_SCDPT5'!SCDPT5_93ENDIN_10)</f>
        <v>0</v>
      </c>
      <c r="M129" s="3">
        <f>SUM('GMIC_2020-Annu_SCDPT5'!SCDPT5_93BEGIN_11:'GMIC_2020-Annu_SCDPT5'!SCDPT5_93ENDIN_11)</f>
        <v>0</v>
      </c>
      <c r="N129" s="3">
        <f>SUM('GMIC_2020-Annu_SCDPT5'!SCDPT5_93BEGIN_12:'GMIC_2020-Annu_SCDPT5'!SCDPT5_93ENDIN_12)</f>
        <v>0</v>
      </c>
      <c r="O129" s="3">
        <f>SUM('GMIC_2020-Annu_SCDPT5'!SCDPT5_93BEGIN_13:'GMIC_2020-Annu_SCDPT5'!SCDPT5_93ENDIN_13)</f>
        <v>0</v>
      </c>
      <c r="P129" s="3">
        <f>SUM('GMIC_2020-Annu_SCDPT5'!SCDPT5_93BEGIN_14:'GMIC_2020-Annu_SCDPT5'!SCDPT5_93ENDIN_14)</f>
        <v>0</v>
      </c>
      <c r="Q129" s="3">
        <f>SUM('GMIC_2020-Annu_SCDPT5'!SCDPT5_93BEGIN_15:'GMIC_2020-Annu_SCDPT5'!SCDPT5_93ENDIN_15)</f>
        <v>0</v>
      </c>
      <c r="R129" s="3">
        <f>SUM('GMIC_2020-Annu_SCDPT5'!SCDPT5_93BEGIN_16:'GMIC_2020-Annu_SCDPT5'!SCDPT5_93ENDIN_16)</f>
        <v>0</v>
      </c>
      <c r="S129" s="3">
        <f>SUM('GMIC_2020-Annu_SCDPT5'!SCDPT5_93BEGIN_17:'GMIC_2020-Annu_SCDPT5'!SCDPT5_93ENDIN_17)</f>
        <v>0</v>
      </c>
      <c r="T129" s="3">
        <f>SUM('GMIC_2020-Annu_SCDPT5'!SCDPT5_93BEGIN_18:'GMIC_2020-Annu_SCDPT5'!SCDPT5_93ENDIN_18)</f>
        <v>0</v>
      </c>
      <c r="U129" s="3">
        <f>SUM('GMIC_2020-Annu_SCDPT5'!SCDPT5_93BEGIN_19:'GMIC_2020-Annu_SCDPT5'!SCDPT5_93ENDIN_19)</f>
        <v>0</v>
      </c>
      <c r="V129" s="3">
        <f>SUM('GMIC_2020-Annu_SCDPT5'!SCDPT5_93BEGIN_20:'GMIC_2020-Annu_SCDPT5'!SCDPT5_93ENDIN_20)</f>
        <v>0</v>
      </c>
      <c r="W129" s="3">
        <f>SUM('GMIC_2020-Annu_SCDPT5'!SCDPT5_93BEGIN_21:'GMIC_2020-Annu_SCDPT5'!SCDPT5_93ENDIN_21)</f>
        <v>0</v>
      </c>
      <c r="X129" s="2"/>
      <c r="Y129" s="2"/>
      <c r="Z129" s="2"/>
      <c r="AA129" s="2"/>
      <c r="AB129" s="2"/>
    </row>
    <row r="130" spans="2:28" x14ac:dyDescent="0.25">
      <c r="B130" s="7" t="s">
        <v>2713</v>
      </c>
      <c r="C130" s="1" t="s">
        <v>2713</v>
      </c>
      <c r="D130" s="8" t="s">
        <v>2713</v>
      </c>
      <c r="E130" s="1" t="s">
        <v>2713</v>
      </c>
      <c r="F130" s="1" t="s">
        <v>2713</v>
      </c>
      <c r="G130" s="1" t="s">
        <v>2713</v>
      </c>
      <c r="H130" s="1" t="s">
        <v>2713</v>
      </c>
      <c r="I130" s="1" t="s">
        <v>2713</v>
      </c>
      <c r="J130" s="1" t="s">
        <v>2713</v>
      </c>
      <c r="K130" s="1" t="s">
        <v>2713</v>
      </c>
      <c r="L130" s="1" t="s">
        <v>2713</v>
      </c>
      <c r="M130" s="1" t="s">
        <v>2713</v>
      </c>
      <c r="N130" s="1" t="s">
        <v>2713</v>
      </c>
      <c r="O130" s="1" t="s">
        <v>2713</v>
      </c>
      <c r="P130" s="1" t="s">
        <v>2713</v>
      </c>
      <c r="Q130" s="1" t="s">
        <v>2713</v>
      </c>
      <c r="R130" s="1" t="s">
        <v>2713</v>
      </c>
      <c r="S130" s="1" t="s">
        <v>2713</v>
      </c>
      <c r="T130" s="1" t="s">
        <v>2713</v>
      </c>
      <c r="U130" s="1" t="s">
        <v>2713</v>
      </c>
      <c r="V130" s="1" t="s">
        <v>2713</v>
      </c>
      <c r="W130" s="1" t="s">
        <v>2713</v>
      </c>
      <c r="X130" s="1" t="s">
        <v>2713</v>
      </c>
      <c r="Y130" s="1" t="s">
        <v>2713</v>
      </c>
      <c r="Z130" s="1" t="s">
        <v>2713</v>
      </c>
      <c r="AA130" s="1" t="s">
        <v>2713</v>
      </c>
      <c r="AB130" s="1" t="s">
        <v>2713</v>
      </c>
    </row>
    <row r="131" spans="2:28" x14ac:dyDescent="0.25">
      <c r="B131" s="18" t="s">
        <v>1548</v>
      </c>
      <c r="C131" s="25" t="s">
        <v>3846</v>
      </c>
      <c r="D131" s="20" t="s">
        <v>3</v>
      </c>
      <c r="E131" s="22" t="s">
        <v>3</v>
      </c>
      <c r="F131" s="6"/>
      <c r="G131" s="5" t="s">
        <v>3</v>
      </c>
      <c r="H131" s="6"/>
      <c r="I131" s="5" t="s">
        <v>3</v>
      </c>
      <c r="J131" s="28"/>
      <c r="K131" s="4"/>
      <c r="L131" s="4"/>
      <c r="M131" s="4"/>
      <c r="N131" s="4"/>
      <c r="O131" s="4"/>
      <c r="P131" s="4"/>
      <c r="Q131" s="24"/>
      <c r="R131" s="4"/>
      <c r="S131" s="4"/>
      <c r="T131" s="4"/>
      <c r="U131" s="24"/>
      <c r="V131" s="4"/>
      <c r="W131" s="4"/>
      <c r="X131" s="2"/>
      <c r="Y131" s="5" t="s">
        <v>3</v>
      </c>
      <c r="Z131" s="5" t="s">
        <v>3</v>
      </c>
      <c r="AA131" s="5" t="s">
        <v>3</v>
      </c>
      <c r="AB131" s="16" t="s">
        <v>3</v>
      </c>
    </row>
    <row r="132" spans="2:28" x14ac:dyDescent="0.25">
      <c r="B132" s="7" t="s">
        <v>2713</v>
      </c>
      <c r="C132" s="1" t="s">
        <v>2713</v>
      </c>
      <c r="D132" s="8" t="s">
        <v>2713</v>
      </c>
      <c r="E132" s="1" t="s">
        <v>2713</v>
      </c>
      <c r="F132" s="1" t="s">
        <v>2713</v>
      </c>
      <c r="G132" s="1" t="s">
        <v>2713</v>
      </c>
      <c r="H132" s="1" t="s">
        <v>2713</v>
      </c>
      <c r="I132" s="1" t="s">
        <v>2713</v>
      </c>
      <c r="J132" s="1" t="s">
        <v>2713</v>
      </c>
      <c r="K132" s="1" t="s">
        <v>2713</v>
      </c>
      <c r="L132" s="1" t="s">
        <v>2713</v>
      </c>
      <c r="M132" s="1" t="s">
        <v>2713</v>
      </c>
      <c r="N132" s="1" t="s">
        <v>2713</v>
      </c>
      <c r="O132" s="1" t="s">
        <v>2713</v>
      </c>
      <c r="P132" s="1" t="s">
        <v>2713</v>
      </c>
      <c r="Q132" s="1" t="s">
        <v>2713</v>
      </c>
      <c r="R132" s="1" t="s">
        <v>2713</v>
      </c>
      <c r="S132" s="1" t="s">
        <v>2713</v>
      </c>
      <c r="T132" s="1" t="s">
        <v>2713</v>
      </c>
      <c r="U132" s="1" t="s">
        <v>2713</v>
      </c>
      <c r="V132" s="1" t="s">
        <v>2713</v>
      </c>
      <c r="W132" s="1" t="s">
        <v>2713</v>
      </c>
      <c r="X132" s="1" t="s">
        <v>2713</v>
      </c>
      <c r="Y132" s="1" t="s">
        <v>2713</v>
      </c>
      <c r="Z132" s="1" t="s">
        <v>2713</v>
      </c>
      <c r="AA132" s="1" t="s">
        <v>2713</v>
      </c>
      <c r="AB132" s="1" t="s">
        <v>2713</v>
      </c>
    </row>
    <row r="133" spans="2:28" ht="27.6" x14ac:dyDescent="0.25">
      <c r="B133" s="21" t="s">
        <v>3260</v>
      </c>
      <c r="C133" s="19" t="s">
        <v>3033</v>
      </c>
      <c r="D133" s="17"/>
      <c r="E133" s="2"/>
      <c r="F133" s="2"/>
      <c r="G133" s="2"/>
      <c r="H133" s="2"/>
      <c r="I133" s="2"/>
      <c r="J133" s="2"/>
      <c r="K133" s="3">
        <f>SUM('GMIC_2020-Annu_SCDPT5'!SCDPT5_94BEGIN_9:'GMIC_2020-Annu_SCDPT5'!SCDPT5_94ENDIN_9)</f>
        <v>0</v>
      </c>
      <c r="L133" s="3">
        <f>SUM('GMIC_2020-Annu_SCDPT5'!SCDPT5_94BEGIN_10:'GMIC_2020-Annu_SCDPT5'!SCDPT5_94ENDIN_10)</f>
        <v>0</v>
      </c>
      <c r="M133" s="3">
        <f>SUM('GMIC_2020-Annu_SCDPT5'!SCDPT5_94BEGIN_11:'GMIC_2020-Annu_SCDPT5'!SCDPT5_94ENDIN_11)</f>
        <v>0</v>
      </c>
      <c r="N133" s="3">
        <f>SUM('GMIC_2020-Annu_SCDPT5'!SCDPT5_94BEGIN_12:'GMIC_2020-Annu_SCDPT5'!SCDPT5_94ENDIN_12)</f>
        <v>0</v>
      </c>
      <c r="O133" s="3">
        <f>SUM('GMIC_2020-Annu_SCDPT5'!SCDPT5_94BEGIN_13:'GMIC_2020-Annu_SCDPT5'!SCDPT5_94ENDIN_13)</f>
        <v>0</v>
      </c>
      <c r="P133" s="3">
        <f>SUM('GMIC_2020-Annu_SCDPT5'!SCDPT5_94BEGIN_14:'GMIC_2020-Annu_SCDPT5'!SCDPT5_94ENDIN_14)</f>
        <v>0</v>
      </c>
      <c r="Q133" s="3">
        <f>SUM('GMIC_2020-Annu_SCDPT5'!SCDPT5_94BEGIN_15:'GMIC_2020-Annu_SCDPT5'!SCDPT5_94ENDIN_15)</f>
        <v>0</v>
      </c>
      <c r="R133" s="3">
        <f>SUM('GMIC_2020-Annu_SCDPT5'!SCDPT5_94BEGIN_16:'GMIC_2020-Annu_SCDPT5'!SCDPT5_94ENDIN_16)</f>
        <v>0</v>
      </c>
      <c r="S133" s="3">
        <f>SUM('GMIC_2020-Annu_SCDPT5'!SCDPT5_94BEGIN_17:'GMIC_2020-Annu_SCDPT5'!SCDPT5_94ENDIN_17)</f>
        <v>0</v>
      </c>
      <c r="T133" s="3">
        <f>SUM('GMIC_2020-Annu_SCDPT5'!SCDPT5_94BEGIN_18:'GMIC_2020-Annu_SCDPT5'!SCDPT5_94ENDIN_18)</f>
        <v>0</v>
      </c>
      <c r="U133" s="3">
        <f>SUM('GMIC_2020-Annu_SCDPT5'!SCDPT5_94BEGIN_19:'GMIC_2020-Annu_SCDPT5'!SCDPT5_94ENDIN_19)</f>
        <v>0</v>
      </c>
      <c r="V133" s="3">
        <f>SUM('GMIC_2020-Annu_SCDPT5'!SCDPT5_94BEGIN_20:'GMIC_2020-Annu_SCDPT5'!SCDPT5_94ENDIN_20)</f>
        <v>0</v>
      </c>
      <c r="W133" s="3">
        <f>SUM('GMIC_2020-Annu_SCDPT5'!SCDPT5_94BEGIN_21:'GMIC_2020-Annu_SCDPT5'!SCDPT5_94ENDIN_21)</f>
        <v>0</v>
      </c>
      <c r="X133" s="2"/>
      <c r="Y133" s="2"/>
      <c r="Z133" s="2"/>
      <c r="AA133" s="2"/>
      <c r="AB133" s="2"/>
    </row>
    <row r="134" spans="2:28" x14ac:dyDescent="0.25">
      <c r="B134" s="7" t="s">
        <v>2713</v>
      </c>
      <c r="C134" s="1" t="s">
        <v>2713</v>
      </c>
      <c r="D134" s="8" t="s">
        <v>2713</v>
      </c>
      <c r="E134" s="1" t="s">
        <v>2713</v>
      </c>
      <c r="F134" s="1" t="s">
        <v>2713</v>
      </c>
      <c r="G134" s="1" t="s">
        <v>2713</v>
      </c>
      <c r="H134" s="1" t="s">
        <v>2713</v>
      </c>
      <c r="I134" s="1" t="s">
        <v>2713</v>
      </c>
      <c r="J134" s="1" t="s">
        <v>2713</v>
      </c>
      <c r="K134" s="1" t="s">
        <v>2713</v>
      </c>
      <c r="L134" s="1" t="s">
        <v>2713</v>
      </c>
      <c r="M134" s="1" t="s">
        <v>2713</v>
      </c>
      <c r="N134" s="1" t="s">
        <v>2713</v>
      </c>
      <c r="O134" s="1" t="s">
        <v>2713</v>
      </c>
      <c r="P134" s="1" t="s">
        <v>2713</v>
      </c>
      <c r="Q134" s="1" t="s">
        <v>2713</v>
      </c>
      <c r="R134" s="1" t="s">
        <v>2713</v>
      </c>
      <c r="S134" s="1" t="s">
        <v>2713</v>
      </c>
      <c r="T134" s="1" t="s">
        <v>2713</v>
      </c>
      <c r="U134" s="1" t="s">
        <v>2713</v>
      </c>
      <c r="V134" s="1" t="s">
        <v>2713</v>
      </c>
      <c r="W134" s="1" t="s">
        <v>2713</v>
      </c>
      <c r="X134" s="1" t="s">
        <v>2713</v>
      </c>
      <c r="Y134" s="1" t="s">
        <v>2713</v>
      </c>
      <c r="Z134" s="1" t="s">
        <v>2713</v>
      </c>
      <c r="AA134" s="1" t="s">
        <v>2713</v>
      </c>
      <c r="AB134" s="1" t="s">
        <v>2713</v>
      </c>
    </row>
    <row r="135" spans="2:28" x14ac:dyDescent="0.25">
      <c r="B135" s="18" t="s">
        <v>1100</v>
      </c>
      <c r="C135" s="25" t="s">
        <v>3846</v>
      </c>
      <c r="D135" s="20" t="s">
        <v>3</v>
      </c>
      <c r="E135" s="22" t="s">
        <v>3</v>
      </c>
      <c r="F135" s="6"/>
      <c r="G135" s="5" t="s">
        <v>3</v>
      </c>
      <c r="H135" s="6"/>
      <c r="I135" s="5" t="s">
        <v>3</v>
      </c>
      <c r="J135" s="28"/>
      <c r="K135" s="4"/>
      <c r="L135" s="4"/>
      <c r="M135" s="4"/>
      <c r="N135" s="4"/>
      <c r="O135" s="4"/>
      <c r="P135" s="4"/>
      <c r="Q135" s="24"/>
      <c r="R135" s="4"/>
      <c r="S135" s="4"/>
      <c r="T135" s="4"/>
      <c r="U135" s="24"/>
      <c r="V135" s="4"/>
      <c r="W135" s="4"/>
      <c r="X135" s="2"/>
      <c r="Y135" s="5" t="s">
        <v>3</v>
      </c>
      <c r="Z135" s="5" t="s">
        <v>3</v>
      </c>
      <c r="AA135" s="5" t="s">
        <v>3</v>
      </c>
      <c r="AB135" s="16" t="s">
        <v>3</v>
      </c>
    </row>
    <row r="136" spans="2:28" x14ac:dyDescent="0.25">
      <c r="B136" s="7" t="s">
        <v>2713</v>
      </c>
      <c r="C136" s="1" t="s">
        <v>2713</v>
      </c>
      <c r="D136" s="8" t="s">
        <v>2713</v>
      </c>
      <c r="E136" s="1" t="s">
        <v>2713</v>
      </c>
      <c r="F136" s="1" t="s">
        <v>2713</v>
      </c>
      <c r="G136" s="1" t="s">
        <v>2713</v>
      </c>
      <c r="H136" s="1" t="s">
        <v>2713</v>
      </c>
      <c r="I136" s="1" t="s">
        <v>2713</v>
      </c>
      <c r="J136" s="1" t="s">
        <v>2713</v>
      </c>
      <c r="K136" s="1" t="s">
        <v>2713</v>
      </c>
      <c r="L136" s="1" t="s">
        <v>2713</v>
      </c>
      <c r="M136" s="1" t="s">
        <v>2713</v>
      </c>
      <c r="N136" s="1" t="s">
        <v>2713</v>
      </c>
      <c r="O136" s="1" t="s">
        <v>2713</v>
      </c>
      <c r="P136" s="1" t="s">
        <v>2713</v>
      </c>
      <c r="Q136" s="1" t="s">
        <v>2713</v>
      </c>
      <c r="R136" s="1" t="s">
        <v>2713</v>
      </c>
      <c r="S136" s="1" t="s">
        <v>2713</v>
      </c>
      <c r="T136" s="1" t="s">
        <v>2713</v>
      </c>
      <c r="U136" s="1" t="s">
        <v>2713</v>
      </c>
      <c r="V136" s="1" t="s">
        <v>2713</v>
      </c>
      <c r="W136" s="1" t="s">
        <v>2713</v>
      </c>
      <c r="X136" s="1" t="s">
        <v>2713</v>
      </c>
      <c r="Y136" s="1" t="s">
        <v>2713</v>
      </c>
      <c r="Z136" s="1" t="s">
        <v>2713</v>
      </c>
      <c r="AA136" s="1" t="s">
        <v>2713</v>
      </c>
      <c r="AB136" s="1" t="s">
        <v>2713</v>
      </c>
    </row>
    <row r="137" spans="2:28" ht="27.6" x14ac:dyDescent="0.25">
      <c r="B137" s="21" t="s">
        <v>2374</v>
      </c>
      <c r="C137" s="19" t="s">
        <v>3475</v>
      </c>
      <c r="D137" s="17"/>
      <c r="E137" s="2"/>
      <c r="F137" s="2"/>
      <c r="G137" s="2"/>
      <c r="H137" s="2"/>
      <c r="I137" s="2"/>
      <c r="J137" s="2"/>
      <c r="K137" s="3">
        <f>SUM('GMIC_2020-Annu_SCDPT5'!SCDPT5_95BEGIN_9:'GMIC_2020-Annu_SCDPT5'!SCDPT5_95ENDIN_9)</f>
        <v>0</v>
      </c>
      <c r="L137" s="3">
        <f>SUM('GMIC_2020-Annu_SCDPT5'!SCDPT5_95BEGIN_10:'GMIC_2020-Annu_SCDPT5'!SCDPT5_95ENDIN_10)</f>
        <v>0</v>
      </c>
      <c r="M137" s="3">
        <f>SUM('GMIC_2020-Annu_SCDPT5'!SCDPT5_95BEGIN_11:'GMIC_2020-Annu_SCDPT5'!SCDPT5_95ENDIN_11)</f>
        <v>0</v>
      </c>
      <c r="N137" s="3">
        <f>SUM('GMIC_2020-Annu_SCDPT5'!SCDPT5_95BEGIN_12:'GMIC_2020-Annu_SCDPT5'!SCDPT5_95ENDIN_12)</f>
        <v>0</v>
      </c>
      <c r="O137" s="3">
        <f>SUM('GMIC_2020-Annu_SCDPT5'!SCDPT5_95BEGIN_13:'GMIC_2020-Annu_SCDPT5'!SCDPT5_95ENDIN_13)</f>
        <v>0</v>
      </c>
      <c r="P137" s="3">
        <f>SUM('GMIC_2020-Annu_SCDPT5'!SCDPT5_95BEGIN_14:'GMIC_2020-Annu_SCDPT5'!SCDPT5_95ENDIN_14)</f>
        <v>0</v>
      </c>
      <c r="Q137" s="3">
        <f>SUM('GMIC_2020-Annu_SCDPT5'!SCDPT5_95BEGIN_15:'GMIC_2020-Annu_SCDPT5'!SCDPT5_95ENDIN_15)</f>
        <v>0</v>
      </c>
      <c r="R137" s="3">
        <f>SUM('GMIC_2020-Annu_SCDPT5'!SCDPT5_95BEGIN_16:'GMIC_2020-Annu_SCDPT5'!SCDPT5_95ENDIN_16)</f>
        <v>0</v>
      </c>
      <c r="S137" s="3">
        <f>SUM('GMIC_2020-Annu_SCDPT5'!SCDPT5_95BEGIN_17:'GMIC_2020-Annu_SCDPT5'!SCDPT5_95ENDIN_17)</f>
        <v>0</v>
      </c>
      <c r="T137" s="3">
        <f>SUM('GMIC_2020-Annu_SCDPT5'!SCDPT5_95BEGIN_18:'GMIC_2020-Annu_SCDPT5'!SCDPT5_95ENDIN_18)</f>
        <v>0</v>
      </c>
      <c r="U137" s="3">
        <f>SUM('GMIC_2020-Annu_SCDPT5'!SCDPT5_95BEGIN_19:'GMIC_2020-Annu_SCDPT5'!SCDPT5_95ENDIN_19)</f>
        <v>0</v>
      </c>
      <c r="V137" s="3">
        <f>SUM('GMIC_2020-Annu_SCDPT5'!SCDPT5_95BEGIN_20:'GMIC_2020-Annu_SCDPT5'!SCDPT5_95ENDIN_20)</f>
        <v>0</v>
      </c>
      <c r="W137" s="3">
        <f>SUM('GMIC_2020-Annu_SCDPT5'!SCDPT5_95BEGIN_21:'GMIC_2020-Annu_SCDPT5'!SCDPT5_95ENDIN_21)</f>
        <v>0</v>
      </c>
      <c r="X137" s="2"/>
      <c r="Y137" s="2"/>
      <c r="Z137" s="2"/>
      <c r="AA137" s="2"/>
      <c r="AB137" s="2"/>
    </row>
    <row r="138" spans="2:28" x14ac:dyDescent="0.25">
      <c r="B138" s="7" t="s">
        <v>2713</v>
      </c>
      <c r="C138" s="1" t="s">
        <v>2713</v>
      </c>
      <c r="D138" s="8" t="s">
        <v>2713</v>
      </c>
      <c r="E138" s="1" t="s">
        <v>2713</v>
      </c>
      <c r="F138" s="1" t="s">
        <v>2713</v>
      </c>
      <c r="G138" s="1" t="s">
        <v>2713</v>
      </c>
      <c r="H138" s="1" t="s">
        <v>2713</v>
      </c>
      <c r="I138" s="1" t="s">
        <v>2713</v>
      </c>
      <c r="J138" s="1" t="s">
        <v>2713</v>
      </c>
      <c r="K138" s="1" t="s">
        <v>2713</v>
      </c>
      <c r="L138" s="1" t="s">
        <v>2713</v>
      </c>
      <c r="M138" s="1" t="s">
        <v>2713</v>
      </c>
      <c r="N138" s="1" t="s">
        <v>2713</v>
      </c>
      <c r="O138" s="1" t="s">
        <v>2713</v>
      </c>
      <c r="P138" s="1" t="s">
        <v>2713</v>
      </c>
      <c r="Q138" s="1" t="s">
        <v>2713</v>
      </c>
      <c r="R138" s="1" t="s">
        <v>2713</v>
      </c>
      <c r="S138" s="1" t="s">
        <v>2713</v>
      </c>
      <c r="T138" s="1" t="s">
        <v>2713</v>
      </c>
      <c r="U138" s="1" t="s">
        <v>2713</v>
      </c>
      <c r="V138" s="1" t="s">
        <v>2713</v>
      </c>
      <c r="W138" s="1" t="s">
        <v>2713</v>
      </c>
      <c r="X138" s="1" t="s">
        <v>2713</v>
      </c>
      <c r="Y138" s="1" t="s">
        <v>2713</v>
      </c>
      <c r="Z138" s="1" t="s">
        <v>2713</v>
      </c>
      <c r="AA138" s="1" t="s">
        <v>2713</v>
      </c>
      <c r="AB138" s="1" t="s">
        <v>2713</v>
      </c>
    </row>
    <row r="139" spans="2:28" x14ac:dyDescent="0.25">
      <c r="B139" s="18" t="s">
        <v>184</v>
      </c>
      <c r="C139" s="25" t="s">
        <v>3846</v>
      </c>
      <c r="D139" s="20" t="s">
        <v>3</v>
      </c>
      <c r="E139" s="22" t="s">
        <v>3</v>
      </c>
      <c r="F139" s="6"/>
      <c r="G139" s="5" t="s">
        <v>3</v>
      </c>
      <c r="H139" s="6"/>
      <c r="I139" s="5" t="s">
        <v>3</v>
      </c>
      <c r="J139" s="28"/>
      <c r="K139" s="4"/>
      <c r="L139" s="4"/>
      <c r="M139" s="4"/>
      <c r="N139" s="4"/>
      <c r="O139" s="4"/>
      <c r="P139" s="4"/>
      <c r="Q139" s="24"/>
      <c r="R139" s="4"/>
      <c r="S139" s="4"/>
      <c r="T139" s="4"/>
      <c r="U139" s="24"/>
      <c r="V139" s="4"/>
      <c r="W139" s="4"/>
      <c r="X139" s="2"/>
      <c r="Y139" s="5" t="s">
        <v>3</v>
      </c>
      <c r="Z139" s="5" t="s">
        <v>3</v>
      </c>
      <c r="AA139" s="5" t="s">
        <v>3</v>
      </c>
      <c r="AB139" s="16" t="s">
        <v>3</v>
      </c>
    </row>
    <row r="140" spans="2:28" x14ac:dyDescent="0.25">
      <c r="B140" s="7" t="s">
        <v>2713</v>
      </c>
      <c r="C140" s="1" t="s">
        <v>2713</v>
      </c>
      <c r="D140" s="8" t="s">
        <v>2713</v>
      </c>
      <c r="E140" s="1" t="s">
        <v>2713</v>
      </c>
      <c r="F140" s="1" t="s">
        <v>2713</v>
      </c>
      <c r="G140" s="1" t="s">
        <v>2713</v>
      </c>
      <c r="H140" s="1" t="s">
        <v>2713</v>
      </c>
      <c r="I140" s="1" t="s">
        <v>2713</v>
      </c>
      <c r="J140" s="1" t="s">
        <v>2713</v>
      </c>
      <c r="K140" s="1" t="s">
        <v>2713</v>
      </c>
      <c r="L140" s="1" t="s">
        <v>2713</v>
      </c>
      <c r="M140" s="1" t="s">
        <v>2713</v>
      </c>
      <c r="N140" s="1" t="s">
        <v>2713</v>
      </c>
      <c r="O140" s="1" t="s">
        <v>2713</v>
      </c>
      <c r="P140" s="1" t="s">
        <v>2713</v>
      </c>
      <c r="Q140" s="1" t="s">
        <v>2713</v>
      </c>
      <c r="R140" s="1" t="s">
        <v>2713</v>
      </c>
      <c r="S140" s="1" t="s">
        <v>2713</v>
      </c>
      <c r="T140" s="1" t="s">
        <v>2713</v>
      </c>
      <c r="U140" s="1" t="s">
        <v>2713</v>
      </c>
      <c r="V140" s="1" t="s">
        <v>2713</v>
      </c>
      <c r="W140" s="1" t="s">
        <v>2713</v>
      </c>
      <c r="X140" s="1" t="s">
        <v>2713</v>
      </c>
      <c r="Y140" s="1" t="s">
        <v>2713</v>
      </c>
      <c r="Z140" s="1" t="s">
        <v>2713</v>
      </c>
      <c r="AA140" s="1" t="s">
        <v>2713</v>
      </c>
      <c r="AB140" s="1" t="s">
        <v>2713</v>
      </c>
    </row>
    <row r="141" spans="2:28" x14ac:dyDescent="0.25">
      <c r="B141" s="21" t="s">
        <v>1549</v>
      </c>
      <c r="C141" s="19" t="s">
        <v>1909</v>
      </c>
      <c r="D141" s="17"/>
      <c r="E141" s="2"/>
      <c r="F141" s="2"/>
      <c r="G141" s="2"/>
      <c r="H141" s="2"/>
      <c r="I141" s="2"/>
      <c r="J141" s="2"/>
      <c r="K141" s="3">
        <f>SUM('GMIC_2020-Annu_SCDPT5'!SCDPT5_96BEGIN_9:'GMIC_2020-Annu_SCDPT5'!SCDPT5_96ENDIN_9)</f>
        <v>0</v>
      </c>
      <c r="L141" s="3">
        <f>SUM('GMIC_2020-Annu_SCDPT5'!SCDPT5_96BEGIN_10:'GMIC_2020-Annu_SCDPT5'!SCDPT5_96ENDIN_10)</f>
        <v>0</v>
      </c>
      <c r="M141" s="3">
        <f>SUM('GMIC_2020-Annu_SCDPT5'!SCDPT5_96BEGIN_11:'GMIC_2020-Annu_SCDPT5'!SCDPT5_96ENDIN_11)</f>
        <v>0</v>
      </c>
      <c r="N141" s="3">
        <f>SUM('GMIC_2020-Annu_SCDPT5'!SCDPT5_96BEGIN_12:'GMIC_2020-Annu_SCDPT5'!SCDPT5_96ENDIN_12)</f>
        <v>0</v>
      </c>
      <c r="O141" s="3">
        <f>SUM('GMIC_2020-Annu_SCDPT5'!SCDPT5_96BEGIN_13:'GMIC_2020-Annu_SCDPT5'!SCDPT5_96ENDIN_13)</f>
        <v>0</v>
      </c>
      <c r="P141" s="3">
        <f>SUM('GMIC_2020-Annu_SCDPT5'!SCDPT5_96BEGIN_14:'GMIC_2020-Annu_SCDPT5'!SCDPT5_96ENDIN_14)</f>
        <v>0</v>
      </c>
      <c r="Q141" s="3">
        <f>SUM('GMIC_2020-Annu_SCDPT5'!SCDPT5_96BEGIN_15:'GMIC_2020-Annu_SCDPT5'!SCDPT5_96ENDIN_15)</f>
        <v>0</v>
      </c>
      <c r="R141" s="3">
        <f>SUM('GMIC_2020-Annu_SCDPT5'!SCDPT5_96BEGIN_16:'GMIC_2020-Annu_SCDPT5'!SCDPT5_96ENDIN_16)</f>
        <v>0</v>
      </c>
      <c r="S141" s="3">
        <f>SUM('GMIC_2020-Annu_SCDPT5'!SCDPT5_96BEGIN_17:'GMIC_2020-Annu_SCDPT5'!SCDPT5_96ENDIN_17)</f>
        <v>0</v>
      </c>
      <c r="T141" s="3">
        <f>SUM('GMIC_2020-Annu_SCDPT5'!SCDPT5_96BEGIN_18:'GMIC_2020-Annu_SCDPT5'!SCDPT5_96ENDIN_18)</f>
        <v>0</v>
      </c>
      <c r="U141" s="3">
        <f>SUM('GMIC_2020-Annu_SCDPT5'!SCDPT5_96BEGIN_19:'GMIC_2020-Annu_SCDPT5'!SCDPT5_96ENDIN_19)</f>
        <v>0</v>
      </c>
      <c r="V141" s="3">
        <f>SUM('GMIC_2020-Annu_SCDPT5'!SCDPT5_96BEGIN_20:'GMIC_2020-Annu_SCDPT5'!SCDPT5_96ENDIN_20)</f>
        <v>0</v>
      </c>
      <c r="W141" s="3">
        <f>SUM('GMIC_2020-Annu_SCDPT5'!SCDPT5_96BEGIN_21:'GMIC_2020-Annu_SCDPT5'!SCDPT5_96ENDIN_21)</f>
        <v>0</v>
      </c>
      <c r="X141" s="2"/>
      <c r="Y141" s="2"/>
      <c r="Z141" s="2"/>
      <c r="AA141" s="2"/>
      <c r="AB141" s="2"/>
    </row>
    <row r="142" spans="2:28" x14ac:dyDescent="0.25">
      <c r="B142" s="21" t="s">
        <v>4158</v>
      </c>
      <c r="C142" s="19" t="s">
        <v>4159</v>
      </c>
      <c r="D142" s="17"/>
      <c r="E142" s="2"/>
      <c r="F142" s="2"/>
      <c r="G142" s="2"/>
      <c r="H142" s="2"/>
      <c r="I142" s="2"/>
      <c r="J142" s="2"/>
      <c r="K142" s="3">
        <f>'GMIC_2020-Annu_SCDPT5'!SCDPT5_9099999_9+'GMIC_2020-Annu_SCDPT5'!SCDPT5_9199999_9+'GMIC_2020-Annu_SCDPT5'!SCDPT5_9299999_9+'GMIC_2020-Annu_SCDPT5'!SCDPT5_9399999_9+'GMIC_2020-Annu_SCDPT5'!SCDPT5_9499999_9+'GMIC_2020-Annu_SCDPT5'!SCDPT5_9599999_9+'GMIC_2020-Annu_SCDPT5'!SCDPT5_9699999_9</f>
        <v>0</v>
      </c>
      <c r="L142" s="3">
        <f>'GMIC_2020-Annu_SCDPT5'!SCDPT5_9099999_10+'GMIC_2020-Annu_SCDPT5'!SCDPT5_9199999_10+'GMIC_2020-Annu_SCDPT5'!SCDPT5_9299999_10+'GMIC_2020-Annu_SCDPT5'!SCDPT5_9399999_10+'GMIC_2020-Annu_SCDPT5'!SCDPT5_9499999_10+'GMIC_2020-Annu_SCDPT5'!SCDPT5_9599999_10+'GMIC_2020-Annu_SCDPT5'!SCDPT5_9699999_10</f>
        <v>0</v>
      </c>
      <c r="M142" s="3">
        <f>'GMIC_2020-Annu_SCDPT5'!SCDPT5_9099999_11+'GMIC_2020-Annu_SCDPT5'!SCDPT5_9199999_11+'GMIC_2020-Annu_SCDPT5'!SCDPT5_9299999_11+'GMIC_2020-Annu_SCDPT5'!SCDPT5_9399999_11+'GMIC_2020-Annu_SCDPT5'!SCDPT5_9499999_11+'GMIC_2020-Annu_SCDPT5'!SCDPT5_9599999_11+'GMIC_2020-Annu_SCDPT5'!SCDPT5_9699999_11</f>
        <v>0</v>
      </c>
      <c r="N142" s="3">
        <f>'GMIC_2020-Annu_SCDPT5'!SCDPT5_9099999_12+'GMIC_2020-Annu_SCDPT5'!SCDPT5_9199999_12+'GMIC_2020-Annu_SCDPT5'!SCDPT5_9299999_12+'GMIC_2020-Annu_SCDPT5'!SCDPT5_9399999_12+'GMIC_2020-Annu_SCDPT5'!SCDPT5_9499999_12+'GMIC_2020-Annu_SCDPT5'!SCDPT5_9599999_12+'GMIC_2020-Annu_SCDPT5'!SCDPT5_9699999_12</f>
        <v>0</v>
      </c>
      <c r="O142" s="3">
        <f>'GMIC_2020-Annu_SCDPT5'!SCDPT5_9099999_13+'GMIC_2020-Annu_SCDPT5'!SCDPT5_9199999_13+'GMIC_2020-Annu_SCDPT5'!SCDPT5_9299999_13+'GMIC_2020-Annu_SCDPT5'!SCDPT5_9399999_13+'GMIC_2020-Annu_SCDPT5'!SCDPT5_9499999_13+'GMIC_2020-Annu_SCDPT5'!SCDPT5_9599999_13+'GMIC_2020-Annu_SCDPT5'!SCDPT5_9699999_13</f>
        <v>0</v>
      </c>
      <c r="P142" s="3">
        <f>'GMIC_2020-Annu_SCDPT5'!SCDPT5_9099999_14+'GMIC_2020-Annu_SCDPT5'!SCDPT5_9199999_14+'GMIC_2020-Annu_SCDPT5'!SCDPT5_9299999_14+'GMIC_2020-Annu_SCDPT5'!SCDPT5_9399999_14+'GMIC_2020-Annu_SCDPT5'!SCDPT5_9499999_14+'GMIC_2020-Annu_SCDPT5'!SCDPT5_9599999_14+'GMIC_2020-Annu_SCDPT5'!SCDPT5_9699999_14</f>
        <v>0</v>
      </c>
      <c r="Q142" s="3">
        <f>'GMIC_2020-Annu_SCDPT5'!SCDPT5_9099999_15+'GMIC_2020-Annu_SCDPT5'!SCDPT5_9199999_15+'GMIC_2020-Annu_SCDPT5'!SCDPT5_9299999_15+'GMIC_2020-Annu_SCDPT5'!SCDPT5_9399999_15+'GMIC_2020-Annu_SCDPT5'!SCDPT5_9499999_15+'GMIC_2020-Annu_SCDPT5'!SCDPT5_9599999_15+'GMIC_2020-Annu_SCDPT5'!SCDPT5_9699999_15</f>
        <v>0</v>
      </c>
      <c r="R142" s="3">
        <f>'GMIC_2020-Annu_SCDPT5'!SCDPT5_9099999_16+'GMIC_2020-Annu_SCDPT5'!SCDPT5_9199999_16+'GMIC_2020-Annu_SCDPT5'!SCDPT5_9299999_16+'GMIC_2020-Annu_SCDPT5'!SCDPT5_9399999_16+'GMIC_2020-Annu_SCDPT5'!SCDPT5_9499999_16+'GMIC_2020-Annu_SCDPT5'!SCDPT5_9599999_16+'GMIC_2020-Annu_SCDPT5'!SCDPT5_9699999_16</f>
        <v>0</v>
      </c>
      <c r="S142" s="3">
        <f>'GMIC_2020-Annu_SCDPT5'!SCDPT5_9099999_17+'GMIC_2020-Annu_SCDPT5'!SCDPT5_9199999_17+'GMIC_2020-Annu_SCDPT5'!SCDPT5_9299999_17+'GMIC_2020-Annu_SCDPT5'!SCDPT5_9399999_17+'GMIC_2020-Annu_SCDPT5'!SCDPT5_9499999_17+'GMIC_2020-Annu_SCDPT5'!SCDPT5_9599999_17+'GMIC_2020-Annu_SCDPT5'!SCDPT5_9699999_17</f>
        <v>0</v>
      </c>
      <c r="T142" s="3">
        <f>'GMIC_2020-Annu_SCDPT5'!SCDPT5_9099999_18+'GMIC_2020-Annu_SCDPT5'!SCDPT5_9199999_18+'GMIC_2020-Annu_SCDPT5'!SCDPT5_9299999_18+'GMIC_2020-Annu_SCDPT5'!SCDPT5_9399999_18+'GMIC_2020-Annu_SCDPT5'!SCDPT5_9499999_18+'GMIC_2020-Annu_SCDPT5'!SCDPT5_9599999_18+'GMIC_2020-Annu_SCDPT5'!SCDPT5_9699999_18</f>
        <v>0</v>
      </c>
      <c r="U142" s="3">
        <f>'GMIC_2020-Annu_SCDPT5'!SCDPT5_9099999_19+'GMIC_2020-Annu_SCDPT5'!SCDPT5_9199999_19+'GMIC_2020-Annu_SCDPT5'!SCDPT5_9299999_19+'GMIC_2020-Annu_SCDPT5'!SCDPT5_9399999_19+'GMIC_2020-Annu_SCDPT5'!SCDPT5_9499999_19+'GMIC_2020-Annu_SCDPT5'!SCDPT5_9599999_19+'GMIC_2020-Annu_SCDPT5'!SCDPT5_9699999_19</f>
        <v>0</v>
      </c>
      <c r="V142" s="3">
        <f>'GMIC_2020-Annu_SCDPT5'!SCDPT5_9099999_20+'GMIC_2020-Annu_SCDPT5'!SCDPT5_9199999_20+'GMIC_2020-Annu_SCDPT5'!SCDPT5_9299999_20+'GMIC_2020-Annu_SCDPT5'!SCDPT5_9399999_20+'GMIC_2020-Annu_SCDPT5'!SCDPT5_9499999_20+'GMIC_2020-Annu_SCDPT5'!SCDPT5_9599999_20+'GMIC_2020-Annu_SCDPT5'!SCDPT5_9699999_20</f>
        <v>0</v>
      </c>
      <c r="W142" s="3">
        <f>'GMIC_2020-Annu_SCDPT5'!SCDPT5_9099999_21+'GMIC_2020-Annu_SCDPT5'!SCDPT5_9199999_21+'GMIC_2020-Annu_SCDPT5'!SCDPT5_9299999_21+'GMIC_2020-Annu_SCDPT5'!SCDPT5_9399999_21+'GMIC_2020-Annu_SCDPT5'!SCDPT5_9499999_21+'GMIC_2020-Annu_SCDPT5'!SCDPT5_9599999_21+'GMIC_2020-Annu_SCDPT5'!SCDPT5_9699999_21</f>
        <v>0</v>
      </c>
      <c r="X142" s="2"/>
      <c r="Y142" s="2"/>
      <c r="Z142" s="2"/>
      <c r="AA142" s="2"/>
      <c r="AB142" s="2"/>
    </row>
    <row r="143" spans="2:28" ht="27.6" x14ac:dyDescent="0.25">
      <c r="B143" s="21" t="s">
        <v>185</v>
      </c>
      <c r="C143" s="19" t="s">
        <v>1115</v>
      </c>
      <c r="D143" s="17"/>
      <c r="E143" s="2"/>
      <c r="F143" s="2"/>
      <c r="G143" s="2"/>
      <c r="H143" s="2"/>
      <c r="I143" s="2"/>
      <c r="J143" s="2"/>
      <c r="K143" s="3">
        <f>'GMIC_2020-Annu_SCDPT5'!SCDPT5_8999998_9+'GMIC_2020-Annu_SCDPT5'!SCDPT5_9799998_9</f>
        <v>0</v>
      </c>
      <c r="L143" s="3">
        <f>'GMIC_2020-Annu_SCDPT5'!SCDPT5_8999998_10+'GMIC_2020-Annu_SCDPT5'!SCDPT5_9799998_10</f>
        <v>0</v>
      </c>
      <c r="M143" s="3">
        <f>'GMIC_2020-Annu_SCDPT5'!SCDPT5_8999998_11+'GMIC_2020-Annu_SCDPT5'!SCDPT5_9799998_11</f>
        <v>0</v>
      </c>
      <c r="N143" s="3">
        <f>'GMIC_2020-Annu_SCDPT5'!SCDPT5_8999998_12+'GMIC_2020-Annu_SCDPT5'!SCDPT5_9799998_12</f>
        <v>0</v>
      </c>
      <c r="O143" s="3">
        <f>'GMIC_2020-Annu_SCDPT5'!SCDPT5_8999998_13+'GMIC_2020-Annu_SCDPT5'!SCDPT5_9799998_13</f>
        <v>0</v>
      </c>
      <c r="P143" s="3">
        <f>'GMIC_2020-Annu_SCDPT5'!SCDPT5_8999998_14+'GMIC_2020-Annu_SCDPT5'!SCDPT5_9799998_14</f>
        <v>0</v>
      </c>
      <c r="Q143" s="3">
        <f>'GMIC_2020-Annu_SCDPT5'!SCDPT5_8999998_15+'GMIC_2020-Annu_SCDPT5'!SCDPT5_9799998_15</f>
        <v>0</v>
      </c>
      <c r="R143" s="3">
        <f>'GMIC_2020-Annu_SCDPT5'!SCDPT5_8999998_16+'GMIC_2020-Annu_SCDPT5'!SCDPT5_9799998_16</f>
        <v>0</v>
      </c>
      <c r="S143" s="3">
        <f>'GMIC_2020-Annu_SCDPT5'!SCDPT5_8999998_17+'GMIC_2020-Annu_SCDPT5'!SCDPT5_9799998_17</f>
        <v>0</v>
      </c>
      <c r="T143" s="3">
        <f>'GMIC_2020-Annu_SCDPT5'!SCDPT5_8999998_18+'GMIC_2020-Annu_SCDPT5'!SCDPT5_9799998_18</f>
        <v>0</v>
      </c>
      <c r="U143" s="3">
        <f>'GMIC_2020-Annu_SCDPT5'!SCDPT5_8999998_19+'GMIC_2020-Annu_SCDPT5'!SCDPT5_9799998_19</f>
        <v>0</v>
      </c>
      <c r="V143" s="3">
        <f>'GMIC_2020-Annu_SCDPT5'!SCDPT5_8999998_20+'GMIC_2020-Annu_SCDPT5'!SCDPT5_9799998_20</f>
        <v>0</v>
      </c>
      <c r="W143" s="3">
        <f>'GMIC_2020-Annu_SCDPT5'!SCDPT5_8999998_21+'GMIC_2020-Annu_SCDPT5'!SCDPT5_9799998_21</f>
        <v>0</v>
      </c>
      <c r="X143" s="2"/>
      <c r="Y143" s="2"/>
      <c r="Z143" s="2"/>
      <c r="AA143" s="2"/>
      <c r="AB143" s="2"/>
    </row>
    <row r="144" spans="2:28" x14ac:dyDescent="0.25">
      <c r="B144" s="53" t="s">
        <v>3800</v>
      </c>
      <c r="C144" s="55" t="s">
        <v>524</v>
      </c>
      <c r="D144" s="69"/>
      <c r="E144" s="26"/>
      <c r="F144" s="26"/>
      <c r="G144" s="26"/>
      <c r="H144" s="26"/>
      <c r="I144" s="26"/>
      <c r="J144" s="26"/>
      <c r="K144" s="32">
        <f>'GMIC_2020-Annu_SCDPT5'!SCDPT5_8399998_9+'GMIC_2020-Annu_SCDPT5'!SCDPT5_8999998_9+'GMIC_2020-Annu_SCDPT5'!SCDPT5_9799998_9</f>
        <v>87971786</v>
      </c>
      <c r="L144" s="32">
        <f>'GMIC_2020-Annu_SCDPT5'!SCDPT5_8399998_10+'GMIC_2020-Annu_SCDPT5'!SCDPT5_8999998_10+'GMIC_2020-Annu_SCDPT5'!SCDPT5_9799998_10</f>
        <v>88175634</v>
      </c>
      <c r="M144" s="32">
        <f>'GMIC_2020-Annu_SCDPT5'!SCDPT5_8399998_11+'GMIC_2020-Annu_SCDPT5'!SCDPT5_8999998_11+'GMIC_2020-Annu_SCDPT5'!SCDPT5_9799998_11</f>
        <v>88218772</v>
      </c>
      <c r="N144" s="32">
        <f>'GMIC_2020-Annu_SCDPT5'!SCDPT5_8399998_12+'GMIC_2020-Annu_SCDPT5'!SCDPT5_8999998_12+'GMIC_2020-Annu_SCDPT5'!SCDPT5_9799998_12</f>
        <v>0</v>
      </c>
      <c r="O144" s="32">
        <f>'GMIC_2020-Annu_SCDPT5'!SCDPT5_8399998_13+'GMIC_2020-Annu_SCDPT5'!SCDPT5_8999998_13+'GMIC_2020-Annu_SCDPT5'!SCDPT5_9799998_13</f>
        <v>-207345.8</v>
      </c>
      <c r="P144" s="32">
        <f>'GMIC_2020-Annu_SCDPT5'!SCDPT5_8399998_14+'GMIC_2020-Annu_SCDPT5'!SCDPT5_8999998_14+'GMIC_2020-Annu_SCDPT5'!SCDPT5_9799998_14</f>
        <v>0</v>
      </c>
      <c r="Q144" s="32">
        <f>'GMIC_2020-Annu_SCDPT5'!SCDPT5_8399998_15+'GMIC_2020-Annu_SCDPT5'!SCDPT5_8999998_15+'GMIC_2020-Annu_SCDPT5'!SCDPT5_9799998_15</f>
        <v>-207345.8</v>
      </c>
      <c r="R144" s="32">
        <f>'GMIC_2020-Annu_SCDPT5'!SCDPT5_8399998_16+'GMIC_2020-Annu_SCDPT5'!SCDPT5_8999998_16+'GMIC_2020-Annu_SCDPT5'!SCDPT5_9799998_16</f>
        <v>0</v>
      </c>
      <c r="S144" s="32">
        <f>'GMIC_2020-Annu_SCDPT5'!SCDPT5_8399998_17+'GMIC_2020-Annu_SCDPT5'!SCDPT5_8999998_17+'GMIC_2020-Annu_SCDPT5'!SCDPT5_9799998_17</f>
        <v>0</v>
      </c>
      <c r="T144" s="32">
        <f>'GMIC_2020-Annu_SCDPT5'!SCDPT5_8399998_18+'GMIC_2020-Annu_SCDPT5'!SCDPT5_8999998_18+'GMIC_2020-Annu_SCDPT5'!SCDPT5_9799998_18</f>
        <v>-43138</v>
      </c>
      <c r="U144" s="32">
        <f>'GMIC_2020-Annu_SCDPT5'!SCDPT5_8399998_19+'GMIC_2020-Annu_SCDPT5'!SCDPT5_8999998_19+'GMIC_2020-Annu_SCDPT5'!SCDPT5_9799998_19</f>
        <v>-43138</v>
      </c>
      <c r="V144" s="32">
        <f>'GMIC_2020-Annu_SCDPT5'!SCDPT5_8399998_20+'GMIC_2020-Annu_SCDPT5'!SCDPT5_8999998_20+'GMIC_2020-Annu_SCDPT5'!SCDPT5_9799998_20</f>
        <v>1516803.8</v>
      </c>
      <c r="W144" s="32">
        <f>'GMIC_2020-Annu_SCDPT5'!SCDPT5_8399998_21+'GMIC_2020-Annu_SCDPT5'!SCDPT5_8999998_21+'GMIC_2020-Annu_SCDPT5'!SCDPT5_9799998_21</f>
        <v>323931</v>
      </c>
      <c r="X144" s="26"/>
      <c r="Y144" s="26"/>
      <c r="Z144" s="26"/>
      <c r="AA144" s="26"/>
      <c r="AB144" s="26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&amp;CSCDPT5SCDPT5</oddHeader>
    <oddFooter>&amp;LWing Application : &amp;R SaveAs(2/25/2021-10:18 AM)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R73"/>
  <sheetViews>
    <sheetView workbookViewId="0"/>
  </sheetViews>
  <sheetFormatPr defaultRowHeight="13.8" x14ac:dyDescent="0.25"/>
  <cols>
    <col min="1" max="1" width="1.69921875" customWidth="1"/>
    <col min="2" max="2" width="9.69921875" customWidth="1"/>
    <col min="3" max="4" width="25.69921875" customWidth="1"/>
    <col min="5" max="5" width="42.69921875" customWidth="1"/>
    <col min="6" max="7" width="10.69921875" customWidth="1"/>
    <col min="8" max="8" width="60.69921875" customWidth="1"/>
    <col min="9" max="9" width="10.69921875" customWidth="1"/>
    <col min="10" max="12" width="14.69921875" customWidth="1"/>
    <col min="13" max="13" width="12.69921875" customWidth="1"/>
    <col min="14" max="18" width="10.69921875" customWidth="1"/>
  </cols>
  <sheetData>
    <row r="1" spans="2:18" x14ac:dyDescent="0.25">
      <c r="C1" s="35" t="s">
        <v>1621</v>
      </c>
      <c r="D1" s="35" t="s">
        <v>1151</v>
      </c>
      <c r="E1" s="35" t="s">
        <v>1622</v>
      </c>
      <c r="F1" s="35" t="s">
        <v>245</v>
      </c>
    </row>
    <row r="2" spans="2:18" x14ac:dyDescent="0.25">
      <c r="B2" s="52"/>
      <c r="C2" s="45" t="str">
        <f>'GMIC_2020-Annu_SCDPT1'!Wings_Company_ID</f>
        <v>GMIC</v>
      </c>
      <c r="D2" s="45" t="str">
        <f>'GMIC_2020-Annu_SCDPT1'!Wings_Statement_ID</f>
        <v>2020-Annual</v>
      </c>
      <c r="E2" s="41" t="s">
        <v>4194</v>
      </c>
      <c r="F2" s="41" t="s">
        <v>3527</v>
      </c>
    </row>
    <row r="3" spans="2:18" ht="40.049999999999997" customHeight="1" x14ac:dyDescent="0.25">
      <c r="B3" s="59" t="s">
        <v>2429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2:18" ht="40.049999999999997" customHeight="1" x14ac:dyDescent="0.4">
      <c r="B4" s="58" t="s">
        <v>2210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2:18" x14ac:dyDescent="0.25">
      <c r="B5" s="57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  <c r="Q5" s="12">
        <v>15</v>
      </c>
      <c r="R5" s="12">
        <v>16</v>
      </c>
    </row>
    <row r="6" spans="2:18" ht="103.2" x14ac:dyDescent="0.25">
      <c r="B6" s="56"/>
      <c r="C6" s="14" t="s">
        <v>3837</v>
      </c>
      <c r="D6" s="14" t="s">
        <v>4434</v>
      </c>
      <c r="E6" s="14" t="s">
        <v>3307</v>
      </c>
      <c r="F6" s="14" t="s">
        <v>3305</v>
      </c>
      <c r="G6" s="14" t="s">
        <v>2707</v>
      </c>
      <c r="H6" s="14" t="s">
        <v>1147</v>
      </c>
      <c r="I6" s="14" t="s">
        <v>3528</v>
      </c>
      <c r="J6" s="14" t="s">
        <v>3529</v>
      </c>
      <c r="K6" s="14" t="s">
        <v>884</v>
      </c>
      <c r="L6" s="14" t="s">
        <v>1341</v>
      </c>
      <c r="M6" s="14" t="s">
        <v>1148</v>
      </c>
      <c r="N6" s="14" t="s">
        <v>3063</v>
      </c>
      <c r="O6" s="14" t="s">
        <v>3309</v>
      </c>
      <c r="P6" s="14" t="s">
        <v>3065</v>
      </c>
      <c r="Q6" s="14" t="s">
        <v>550</v>
      </c>
      <c r="R6" s="14" t="s">
        <v>2434</v>
      </c>
    </row>
    <row r="7" spans="2:18" x14ac:dyDescent="0.25">
      <c r="B7" s="7" t="s">
        <v>2713</v>
      </c>
      <c r="C7" s="1" t="s">
        <v>2713</v>
      </c>
      <c r="D7" s="8" t="s">
        <v>2713</v>
      </c>
      <c r="E7" s="1" t="s">
        <v>2713</v>
      </c>
      <c r="F7" s="1" t="s">
        <v>2713</v>
      </c>
      <c r="G7" s="1" t="s">
        <v>2713</v>
      </c>
      <c r="H7" s="1" t="s">
        <v>2713</v>
      </c>
      <c r="I7" s="1" t="s">
        <v>2713</v>
      </c>
      <c r="J7" s="1" t="s">
        <v>2713</v>
      </c>
      <c r="K7" s="1" t="s">
        <v>2713</v>
      </c>
      <c r="L7" s="1" t="s">
        <v>2713</v>
      </c>
      <c r="M7" s="1" t="s">
        <v>2713</v>
      </c>
      <c r="N7" s="1" t="s">
        <v>2713</v>
      </c>
      <c r="O7" s="1" t="s">
        <v>2713</v>
      </c>
      <c r="P7" s="1" t="s">
        <v>2713</v>
      </c>
      <c r="Q7" s="1" t="s">
        <v>2713</v>
      </c>
      <c r="R7" s="1" t="s">
        <v>2713</v>
      </c>
    </row>
    <row r="8" spans="2:18" x14ac:dyDescent="0.25">
      <c r="B8" s="18" t="s">
        <v>1974</v>
      </c>
      <c r="C8" s="25" t="s">
        <v>3846</v>
      </c>
      <c r="D8" s="20" t="s">
        <v>3</v>
      </c>
      <c r="E8" s="22" t="s">
        <v>3</v>
      </c>
      <c r="F8" s="48" t="s">
        <v>3</v>
      </c>
      <c r="G8" s="47" t="s">
        <v>3</v>
      </c>
      <c r="H8" s="49" t="s">
        <v>3</v>
      </c>
      <c r="I8" s="50" t="s">
        <v>3</v>
      </c>
      <c r="J8" s="4"/>
      <c r="K8" s="4"/>
      <c r="L8" s="4"/>
      <c r="M8" s="28"/>
      <c r="N8" s="46"/>
      <c r="O8" s="5" t="s">
        <v>3</v>
      </c>
      <c r="P8" s="5" t="s">
        <v>3</v>
      </c>
      <c r="Q8" s="5" t="s">
        <v>3</v>
      </c>
      <c r="R8" s="16" t="s">
        <v>3</v>
      </c>
    </row>
    <row r="9" spans="2:18" x14ac:dyDescent="0.25">
      <c r="B9" s="7" t="s">
        <v>2713</v>
      </c>
      <c r="C9" s="1" t="s">
        <v>2713</v>
      </c>
      <c r="D9" s="8" t="s">
        <v>2713</v>
      </c>
      <c r="E9" s="1" t="s">
        <v>2713</v>
      </c>
      <c r="F9" s="1" t="s">
        <v>2713</v>
      </c>
      <c r="G9" s="1" t="s">
        <v>2713</v>
      </c>
      <c r="H9" s="1" t="s">
        <v>2713</v>
      </c>
      <c r="I9" s="1" t="s">
        <v>2713</v>
      </c>
      <c r="J9" s="1" t="s">
        <v>2713</v>
      </c>
      <c r="K9" s="1" t="s">
        <v>2713</v>
      </c>
      <c r="L9" s="1" t="s">
        <v>2713</v>
      </c>
      <c r="M9" s="1" t="s">
        <v>2713</v>
      </c>
      <c r="N9" s="1" t="s">
        <v>2713</v>
      </c>
      <c r="O9" s="1" t="s">
        <v>2713</v>
      </c>
      <c r="P9" s="1" t="s">
        <v>2713</v>
      </c>
      <c r="Q9" s="1" t="s">
        <v>2713</v>
      </c>
      <c r="R9" s="1" t="s">
        <v>2713</v>
      </c>
    </row>
    <row r="10" spans="2:18" ht="27.6" x14ac:dyDescent="0.25">
      <c r="B10" s="21" t="s">
        <v>3314</v>
      </c>
      <c r="C10" s="19" t="s">
        <v>1619</v>
      </c>
      <c r="D10" s="17"/>
      <c r="E10" s="2"/>
      <c r="F10" s="2"/>
      <c r="G10" s="2"/>
      <c r="H10" s="2"/>
      <c r="I10" s="2"/>
      <c r="J10" s="3">
        <f>SUM('GMIC_2020-Annu_SCDPT6SN1'!SCDPT6SN1_01BEGIN_8:'GMIC_2020-Annu_SCDPT6SN1'!SCDPT6SN1_01ENDIN_8)</f>
        <v>0</v>
      </c>
      <c r="K10" s="3">
        <f>SUM('GMIC_2020-Annu_SCDPT6SN1'!SCDPT6SN1_01BEGIN_9:'GMIC_2020-Annu_SCDPT6SN1'!SCDPT6SN1_01ENDIN_9)</f>
        <v>0</v>
      </c>
      <c r="L10" s="3">
        <f>SUM('GMIC_2020-Annu_SCDPT6SN1'!SCDPT6SN1_01BEGIN_10:'GMIC_2020-Annu_SCDPT6SN1'!SCDPT6SN1_01ENDIN_10)</f>
        <v>0</v>
      </c>
      <c r="M10" s="2"/>
      <c r="N10" s="2"/>
      <c r="O10" s="2"/>
      <c r="P10" s="2"/>
      <c r="Q10" s="2"/>
      <c r="R10" s="2"/>
    </row>
    <row r="11" spans="2:18" x14ac:dyDescent="0.25">
      <c r="B11" s="7" t="s">
        <v>2713</v>
      </c>
      <c r="C11" s="1" t="s">
        <v>2713</v>
      </c>
      <c r="D11" s="8" t="s">
        <v>2713</v>
      </c>
      <c r="E11" s="1" t="s">
        <v>2713</v>
      </c>
      <c r="F11" s="1" t="s">
        <v>2713</v>
      </c>
      <c r="G11" s="1" t="s">
        <v>2713</v>
      </c>
      <c r="H11" s="1" t="s">
        <v>2713</v>
      </c>
      <c r="I11" s="1" t="s">
        <v>2713</v>
      </c>
      <c r="J11" s="1" t="s">
        <v>2713</v>
      </c>
      <c r="K11" s="1" t="s">
        <v>2713</v>
      </c>
      <c r="L11" s="1" t="s">
        <v>2713</v>
      </c>
      <c r="M11" s="1" t="s">
        <v>2713</v>
      </c>
      <c r="N11" s="1" t="s">
        <v>2713</v>
      </c>
      <c r="O11" s="1" t="s">
        <v>2713</v>
      </c>
      <c r="P11" s="1" t="s">
        <v>2713</v>
      </c>
      <c r="Q11" s="1" t="s">
        <v>2713</v>
      </c>
      <c r="R11" s="1" t="s">
        <v>2713</v>
      </c>
    </row>
    <row r="12" spans="2:18" x14ac:dyDescent="0.25">
      <c r="B12" s="18" t="s">
        <v>1154</v>
      </c>
      <c r="C12" s="25" t="s">
        <v>3846</v>
      </c>
      <c r="D12" s="20" t="s">
        <v>3</v>
      </c>
      <c r="E12" s="22" t="s">
        <v>3</v>
      </c>
      <c r="F12" s="48" t="s">
        <v>3</v>
      </c>
      <c r="G12" s="47" t="s">
        <v>3</v>
      </c>
      <c r="H12" s="49" t="s">
        <v>3</v>
      </c>
      <c r="I12" s="50" t="s">
        <v>3</v>
      </c>
      <c r="J12" s="4"/>
      <c r="K12" s="4"/>
      <c r="L12" s="4"/>
      <c r="M12" s="28"/>
      <c r="N12" s="46"/>
      <c r="O12" s="5" t="s">
        <v>3</v>
      </c>
      <c r="P12" s="5" t="s">
        <v>3</v>
      </c>
      <c r="Q12" s="5" t="s">
        <v>3</v>
      </c>
      <c r="R12" s="16" t="s">
        <v>3</v>
      </c>
    </row>
    <row r="13" spans="2:18" x14ac:dyDescent="0.25">
      <c r="B13" s="7" t="s">
        <v>2713</v>
      </c>
      <c r="C13" s="1" t="s">
        <v>2713</v>
      </c>
      <c r="D13" s="8" t="s">
        <v>2713</v>
      </c>
      <c r="E13" s="1" t="s">
        <v>2713</v>
      </c>
      <c r="F13" s="1" t="s">
        <v>2713</v>
      </c>
      <c r="G13" s="1" t="s">
        <v>2713</v>
      </c>
      <c r="H13" s="1" t="s">
        <v>2713</v>
      </c>
      <c r="I13" s="1" t="s">
        <v>2713</v>
      </c>
      <c r="J13" s="1" t="s">
        <v>2713</v>
      </c>
      <c r="K13" s="1" t="s">
        <v>2713</v>
      </c>
      <c r="L13" s="1" t="s">
        <v>2713</v>
      </c>
      <c r="M13" s="1" t="s">
        <v>2713</v>
      </c>
      <c r="N13" s="1" t="s">
        <v>2713</v>
      </c>
      <c r="O13" s="1" t="s">
        <v>2713</v>
      </c>
      <c r="P13" s="1" t="s">
        <v>2713</v>
      </c>
      <c r="Q13" s="1" t="s">
        <v>2713</v>
      </c>
      <c r="R13" s="1" t="s">
        <v>2713</v>
      </c>
    </row>
    <row r="14" spans="2:18" ht="27.6" x14ac:dyDescent="0.25">
      <c r="B14" s="21" t="s">
        <v>2439</v>
      </c>
      <c r="C14" s="19" t="s">
        <v>1975</v>
      </c>
      <c r="D14" s="17"/>
      <c r="E14" s="2"/>
      <c r="F14" s="2"/>
      <c r="G14" s="2"/>
      <c r="H14" s="2"/>
      <c r="I14" s="2"/>
      <c r="J14" s="3">
        <f>SUM('GMIC_2020-Annu_SCDPT6SN1'!SCDPT6SN1_02BEGIN_8:'GMIC_2020-Annu_SCDPT6SN1'!SCDPT6SN1_02ENDIN_8)</f>
        <v>0</v>
      </c>
      <c r="K14" s="3">
        <f>SUM('GMIC_2020-Annu_SCDPT6SN1'!SCDPT6SN1_02BEGIN_9:'GMIC_2020-Annu_SCDPT6SN1'!SCDPT6SN1_02ENDIN_9)</f>
        <v>0</v>
      </c>
      <c r="L14" s="3">
        <f>SUM('GMIC_2020-Annu_SCDPT6SN1'!SCDPT6SN1_02BEGIN_10:'GMIC_2020-Annu_SCDPT6SN1'!SCDPT6SN1_02ENDIN_10)</f>
        <v>0</v>
      </c>
      <c r="M14" s="2"/>
      <c r="N14" s="2"/>
      <c r="O14" s="2"/>
      <c r="P14" s="2"/>
      <c r="Q14" s="2"/>
      <c r="R14" s="2"/>
    </row>
    <row r="15" spans="2:18" x14ac:dyDescent="0.25">
      <c r="B15" s="7" t="s">
        <v>2713</v>
      </c>
      <c r="C15" s="1" t="s">
        <v>2713</v>
      </c>
      <c r="D15" s="8" t="s">
        <v>2713</v>
      </c>
      <c r="E15" s="1" t="s">
        <v>2713</v>
      </c>
      <c r="F15" s="1" t="s">
        <v>2713</v>
      </c>
      <c r="G15" s="1" t="s">
        <v>2713</v>
      </c>
      <c r="H15" s="1" t="s">
        <v>2713</v>
      </c>
      <c r="I15" s="1" t="s">
        <v>2713</v>
      </c>
      <c r="J15" s="1" t="s">
        <v>2713</v>
      </c>
      <c r="K15" s="1" t="s">
        <v>2713</v>
      </c>
      <c r="L15" s="1" t="s">
        <v>2713</v>
      </c>
      <c r="M15" s="1" t="s">
        <v>2713</v>
      </c>
      <c r="N15" s="1" t="s">
        <v>2713</v>
      </c>
      <c r="O15" s="1" t="s">
        <v>2713</v>
      </c>
      <c r="P15" s="1" t="s">
        <v>2713</v>
      </c>
      <c r="Q15" s="1" t="s">
        <v>2713</v>
      </c>
      <c r="R15" s="1" t="s">
        <v>2713</v>
      </c>
    </row>
    <row r="16" spans="2:18" x14ac:dyDescent="0.25">
      <c r="B16" s="18" t="s">
        <v>251</v>
      </c>
      <c r="C16" s="25" t="s">
        <v>3846</v>
      </c>
      <c r="D16" s="20" t="s">
        <v>3</v>
      </c>
      <c r="E16" s="22" t="s">
        <v>3</v>
      </c>
      <c r="F16" s="48" t="s">
        <v>3</v>
      </c>
      <c r="G16" s="47" t="s">
        <v>3</v>
      </c>
      <c r="H16" s="49" t="s">
        <v>3</v>
      </c>
      <c r="I16" s="50" t="s">
        <v>3</v>
      </c>
      <c r="J16" s="4"/>
      <c r="K16" s="4"/>
      <c r="L16" s="4"/>
      <c r="M16" s="28"/>
      <c r="N16" s="46"/>
      <c r="O16" s="5" t="s">
        <v>3</v>
      </c>
      <c r="P16" s="5" t="s">
        <v>3</v>
      </c>
      <c r="Q16" s="5" t="s">
        <v>3</v>
      </c>
      <c r="R16" s="16" t="s">
        <v>3</v>
      </c>
    </row>
    <row r="17" spans="2:18" x14ac:dyDescent="0.25">
      <c r="B17" s="7" t="s">
        <v>2713</v>
      </c>
      <c r="C17" s="1" t="s">
        <v>2713</v>
      </c>
      <c r="D17" s="8" t="s">
        <v>2713</v>
      </c>
      <c r="E17" s="1" t="s">
        <v>2713</v>
      </c>
      <c r="F17" s="1" t="s">
        <v>2713</v>
      </c>
      <c r="G17" s="1" t="s">
        <v>2713</v>
      </c>
      <c r="H17" s="1" t="s">
        <v>2713</v>
      </c>
      <c r="I17" s="1" t="s">
        <v>2713</v>
      </c>
      <c r="J17" s="1" t="s">
        <v>2713</v>
      </c>
      <c r="K17" s="1" t="s">
        <v>2713</v>
      </c>
      <c r="L17" s="1" t="s">
        <v>2713</v>
      </c>
      <c r="M17" s="1" t="s">
        <v>2713</v>
      </c>
      <c r="N17" s="1" t="s">
        <v>2713</v>
      </c>
      <c r="O17" s="1" t="s">
        <v>2713</v>
      </c>
      <c r="P17" s="1" t="s">
        <v>2713</v>
      </c>
      <c r="Q17" s="1" t="s">
        <v>2713</v>
      </c>
      <c r="R17" s="1" t="s">
        <v>2713</v>
      </c>
    </row>
    <row r="18" spans="2:18" ht="27.6" x14ac:dyDescent="0.25">
      <c r="B18" s="21" t="s">
        <v>1630</v>
      </c>
      <c r="C18" s="19" t="s">
        <v>545</v>
      </c>
      <c r="D18" s="17"/>
      <c r="E18" s="2"/>
      <c r="F18" s="2"/>
      <c r="G18" s="2"/>
      <c r="H18" s="2"/>
      <c r="I18" s="2"/>
      <c r="J18" s="3">
        <f>SUM('GMIC_2020-Annu_SCDPT6SN1'!SCDPT6SN1_03BEGIN_8:'GMIC_2020-Annu_SCDPT6SN1'!SCDPT6SN1_03ENDIN_8)</f>
        <v>0</v>
      </c>
      <c r="K18" s="3">
        <f>SUM('GMIC_2020-Annu_SCDPT6SN1'!SCDPT6SN1_03BEGIN_9:'GMIC_2020-Annu_SCDPT6SN1'!SCDPT6SN1_03ENDIN_9)</f>
        <v>0</v>
      </c>
      <c r="L18" s="3">
        <f>SUM('GMIC_2020-Annu_SCDPT6SN1'!SCDPT6SN1_03BEGIN_10:'GMIC_2020-Annu_SCDPT6SN1'!SCDPT6SN1_03ENDIN_10)</f>
        <v>0</v>
      </c>
      <c r="M18" s="2"/>
      <c r="N18" s="2"/>
      <c r="O18" s="2"/>
      <c r="P18" s="2"/>
      <c r="Q18" s="2"/>
      <c r="R18" s="2"/>
    </row>
    <row r="19" spans="2:18" x14ac:dyDescent="0.25">
      <c r="B19" s="7" t="s">
        <v>2713</v>
      </c>
      <c r="C19" s="1" t="s">
        <v>2713</v>
      </c>
      <c r="D19" s="8" t="s">
        <v>2713</v>
      </c>
      <c r="E19" s="1" t="s">
        <v>2713</v>
      </c>
      <c r="F19" s="1" t="s">
        <v>2713</v>
      </c>
      <c r="G19" s="1" t="s">
        <v>2713</v>
      </c>
      <c r="H19" s="1" t="s">
        <v>2713</v>
      </c>
      <c r="I19" s="1" t="s">
        <v>2713</v>
      </c>
      <c r="J19" s="1" t="s">
        <v>2713</v>
      </c>
      <c r="K19" s="1" t="s">
        <v>2713</v>
      </c>
      <c r="L19" s="1" t="s">
        <v>2713</v>
      </c>
      <c r="M19" s="1" t="s">
        <v>2713</v>
      </c>
      <c r="N19" s="1" t="s">
        <v>2713</v>
      </c>
      <c r="O19" s="1" t="s">
        <v>2713</v>
      </c>
      <c r="P19" s="1" t="s">
        <v>2713</v>
      </c>
      <c r="Q19" s="1" t="s">
        <v>2713</v>
      </c>
      <c r="R19" s="1" t="s">
        <v>2713</v>
      </c>
    </row>
    <row r="20" spans="2:18" x14ac:dyDescent="0.25">
      <c r="B20" s="18" t="s">
        <v>3847</v>
      </c>
      <c r="C20" s="25" t="s">
        <v>3846</v>
      </c>
      <c r="D20" s="20" t="s">
        <v>3</v>
      </c>
      <c r="E20" s="22" t="s">
        <v>3</v>
      </c>
      <c r="F20" s="48" t="s">
        <v>3</v>
      </c>
      <c r="G20" s="47" t="s">
        <v>3</v>
      </c>
      <c r="H20" s="49" t="s">
        <v>3</v>
      </c>
      <c r="I20" s="50" t="s">
        <v>3</v>
      </c>
      <c r="J20" s="4"/>
      <c r="K20" s="4"/>
      <c r="L20" s="4"/>
      <c r="M20" s="28"/>
      <c r="N20" s="46"/>
      <c r="O20" s="5" t="s">
        <v>3</v>
      </c>
      <c r="P20" s="5" t="s">
        <v>3</v>
      </c>
      <c r="Q20" s="5" t="s">
        <v>3</v>
      </c>
      <c r="R20" s="16" t="s">
        <v>3</v>
      </c>
    </row>
    <row r="21" spans="2:18" x14ac:dyDescent="0.25">
      <c r="B21" s="7" t="s">
        <v>2713</v>
      </c>
      <c r="C21" s="1" t="s">
        <v>2713</v>
      </c>
      <c r="D21" s="8" t="s">
        <v>2713</v>
      </c>
      <c r="E21" s="1" t="s">
        <v>2713</v>
      </c>
      <c r="F21" s="1" t="s">
        <v>2713</v>
      </c>
      <c r="G21" s="1" t="s">
        <v>2713</v>
      </c>
      <c r="H21" s="1" t="s">
        <v>2713</v>
      </c>
      <c r="I21" s="1" t="s">
        <v>2713</v>
      </c>
      <c r="J21" s="1" t="s">
        <v>2713</v>
      </c>
      <c r="K21" s="1" t="s">
        <v>2713</v>
      </c>
      <c r="L21" s="1" t="s">
        <v>2713</v>
      </c>
      <c r="M21" s="1" t="s">
        <v>2713</v>
      </c>
      <c r="N21" s="1" t="s">
        <v>2713</v>
      </c>
      <c r="O21" s="1" t="s">
        <v>2713</v>
      </c>
      <c r="P21" s="1" t="s">
        <v>2713</v>
      </c>
      <c r="Q21" s="1" t="s">
        <v>2713</v>
      </c>
      <c r="R21" s="1" t="s">
        <v>2713</v>
      </c>
    </row>
    <row r="22" spans="2:18" ht="27.6" x14ac:dyDescent="0.25">
      <c r="B22" s="21" t="s">
        <v>896</v>
      </c>
      <c r="C22" s="19" t="s">
        <v>2211</v>
      </c>
      <c r="D22" s="17"/>
      <c r="E22" s="2"/>
      <c r="F22" s="2"/>
      <c r="G22" s="2"/>
      <c r="H22" s="2"/>
      <c r="I22" s="2"/>
      <c r="J22" s="3">
        <f>SUM('GMIC_2020-Annu_SCDPT6SN1'!SCDPT6SN1_04BEGIN_8:'GMIC_2020-Annu_SCDPT6SN1'!SCDPT6SN1_04ENDIN_8)</f>
        <v>0</v>
      </c>
      <c r="K22" s="3">
        <f>SUM('GMIC_2020-Annu_SCDPT6SN1'!SCDPT6SN1_04BEGIN_9:'GMIC_2020-Annu_SCDPT6SN1'!SCDPT6SN1_04ENDIN_9)</f>
        <v>0</v>
      </c>
      <c r="L22" s="3">
        <f>SUM('GMIC_2020-Annu_SCDPT6SN1'!SCDPT6SN1_04BEGIN_10:'GMIC_2020-Annu_SCDPT6SN1'!SCDPT6SN1_04ENDIN_10)</f>
        <v>0</v>
      </c>
      <c r="M22" s="2"/>
      <c r="N22" s="2"/>
      <c r="O22" s="2"/>
      <c r="P22" s="2"/>
      <c r="Q22" s="2"/>
      <c r="R22" s="2"/>
    </row>
    <row r="23" spans="2:18" x14ac:dyDescent="0.25">
      <c r="B23" s="7" t="s">
        <v>2713</v>
      </c>
      <c r="C23" s="1" t="s">
        <v>2713</v>
      </c>
      <c r="D23" s="8" t="s">
        <v>2713</v>
      </c>
      <c r="E23" s="1" t="s">
        <v>2713</v>
      </c>
      <c r="F23" s="1" t="s">
        <v>2713</v>
      </c>
      <c r="G23" s="1" t="s">
        <v>2713</v>
      </c>
      <c r="H23" s="1" t="s">
        <v>2713</v>
      </c>
      <c r="I23" s="1" t="s">
        <v>2713</v>
      </c>
      <c r="J23" s="1" t="s">
        <v>2713</v>
      </c>
      <c r="K23" s="1" t="s">
        <v>2713</v>
      </c>
      <c r="L23" s="1" t="s">
        <v>2713</v>
      </c>
      <c r="M23" s="1" t="s">
        <v>2713</v>
      </c>
      <c r="N23" s="1" t="s">
        <v>2713</v>
      </c>
      <c r="O23" s="1" t="s">
        <v>2713</v>
      </c>
      <c r="P23" s="1" t="s">
        <v>2713</v>
      </c>
      <c r="Q23" s="1" t="s">
        <v>2713</v>
      </c>
      <c r="R23" s="1" t="s">
        <v>2713</v>
      </c>
    </row>
    <row r="24" spans="2:18" x14ac:dyDescent="0.25">
      <c r="B24" s="18" t="s">
        <v>3301</v>
      </c>
      <c r="C24" s="25" t="s">
        <v>3846</v>
      </c>
      <c r="D24" s="20" t="s">
        <v>3</v>
      </c>
      <c r="E24" s="22" t="s">
        <v>3</v>
      </c>
      <c r="F24" s="48" t="s">
        <v>3</v>
      </c>
      <c r="G24" s="47" t="s">
        <v>3</v>
      </c>
      <c r="H24" s="49" t="s">
        <v>3</v>
      </c>
      <c r="I24" s="50" t="s">
        <v>3</v>
      </c>
      <c r="J24" s="4"/>
      <c r="K24" s="4"/>
      <c r="L24" s="4"/>
      <c r="M24" s="28"/>
      <c r="N24" s="46"/>
      <c r="O24" s="5" t="s">
        <v>3</v>
      </c>
      <c r="P24" s="5" t="s">
        <v>3</v>
      </c>
      <c r="Q24" s="5" t="s">
        <v>3</v>
      </c>
      <c r="R24" s="16" t="s">
        <v>3</v>
      </c>
    </row>
    <row r="25" spans="2:18" x14ac:dyDescent="0.25">
      <c r="B25" s="7" t="s">
        <v>2713</v>
      </c>
      <c r="C25" s="1" t="s">
        <v>2713</v>
      </c>
      <c r="D25" s="8" t="s">
        <v>2713</v>
      </c>
      <c r="E25" s="1" t="s">
        <v>2713</v>
      </c>
      <c r="F25" s="1" t="s">
        <v>2713</v>
      </c>
      <c r="G25" s="1" t="s">
        <v>2713</v>
      </c>
      <c r="H25" s="1" t="s">
        <v>2713</v>
      </c>
      <c r="I25" s="1" t="s">
        <v>2713</v>
      </c>
      <c r="J25" s="1" t="s">
        <v>2713</v>
      </c>
      <c r="K25" s="1" t="s">
        <v>2713</v>
      </c>
      <c r="L25" s="1" t="s">
        <v>2713</v>
      </c>
      <c r="M25" s="1" t="s">
        <v>2713</v>
      </c>
      <c r="N25" s="1" t="s">
        <v>2713</v>
      </c>
      <c r="O25" s="1" t="s">
        <v>2713</v>
      </c>
      <c r="P25" s="1" t="s">
        <v>2713</v>
      </c>
      <c r="Q25" s="1" t="s">
        <v>2713</v>
      </c>
      <c r="R25" s="1" t="s">
        <v>2713</v>
      </c>
    </row>
    <row r="26" spans="2:18" ht="27.6" x14ac:dyDescent="0.25">
      <c r="B26" s="21" t="s">
        <v>4</v>
      </c>
      <c r="C26" s="19" t="s">
        <v>242</v>
      </c>
      <c r="D26" s="17"/>
      <c r="E26" s="2"/>
      <c r="F26" s="2"/>
      <c r="G26" s="2"/>
      <c r="H26" s="2"/>
      <c r="I26" s="2"/>
      <c r="J26" s="3">
        <f>SUM('GMIC_2020-Annu_SCDPT6SN1'!SCDPT6SN1_05BEGIN_8:'GMIC_2020-Annu_SCDPT6SN1'!SCDPT6SN1_05ENDIN_8)</f>
        <v>0</v>
      </c>
      <c r="K26" s="3">
        <f>SUM('GMIC_2020-Annu_SCDPT6SN1'!SCDPT6SN1_05BEGIN_9:'GMIC_2020-Annu_SCDPT6SN1'!SCDPT6SN1_05ENDIN_9)</f>
        <v>0</v>
      </c>
      <c r="L26" s="3">
        <f>SUM('GMIC_2020-Annu_SCDPT6SN1'!SCDPT6SN1_05BEGIN_10:'GMIC_2020-Annu_SCDPT6SN1'!SCDPT6SN1_05ENDIN_10)</f>
        <v>0</v>
      </c>
      <c r="M26" s="2"/>
      <c r="N26" s="2"/>
      <c r="O26" s="2"/>
      <c r="P26" s="2"/>
      <c r="Q26" s="2"/>
      <c r="R26" s="2"/>
    </row>
    <row r="27" spans="2:18" x14ac:dyDescent="0.25">
      <c r="B27" s="7" t="s">
        <v>2713</v>
      </c>
      <c r="C27" s="1" t="s">
        <v>2713</v>
      </c>
      <c r="D27" s="8" t="s">
        <v>2713</v>
      </c>
      <c r="E27" s="1" t="s">
        <v>2713</v>
      </c>
      <c r="F27" s="1" t="s">
        <v>2713</v>
      </c>
      <c r="G27" s="1" t="s">
        <v>2713</v>
      </c>
      <c r="H27" s="1" t="s">
        <v>2713</v>
      </c>
      <c r="I27" s="1" t="s">
        <v>2713</v>
      </c>
      <c r="J27" s="1" t="s">
        <v>2713</v>
      </c>
      <c r="K27" s="1" t="s">
        <v>2713</v>
      </c>
      <c r="L27" s="1" t="s">
        <v>2713</v>
      </c>
      <c r="M27" s="1" t="s">
        <v>2713</v>
      </c>
      <c r="N27" s="1" t="s">
        <v>2713</v>
      </c>
      <c r="O27" s="1" t="s">
        <v>2713</v>
      </c>
      <c r="P27" s="1" t="s">
        <v>2713</v>
      </c>
      <c r="Q27" s="1" t="s">
        <v>2713</v>
      </c>
      <c r="R27" s="1" t="s">
        <v>2713</v>
      </c>
    </row>
    <row r="28" spans="2:18" x14ac:dyDescent="0.25">
      <c r="B28" s="18" t="s">
        <v>2708</v>
      </c>
      <c r="C28" s="25" t="s">
        <v>3846</v>
      </c>
      <c r="D28" s="20" t="s">
        <v>3</v>
      </c>
      <c r="E28" s="22" t="s">
        <v>3</v>
      </c>
      <c r="F28" s="48" t="s">
        <v>3</v>
      </c>
      <c r="G28" s="47" t="s">
        <v>3</v>
      </c>
      <c r="H28" s="49" t="s">
        <v>3</v>
      </c>
      <c r="I28" s="50" t="s">
        <v>3</v>
      </c>
      <c r="J28" s="4"/>
      <c r="K28" s="4"/>
      <c r="L28" s="4"/>
      <c r="M28" s="28"/>
      <c r="N28" s="46"/>
      <c r="O28" s="5" t="s">
        <v>3</v>
      </c>
      <c r="P28" s="5" t="s">
        <v>3</v>
      </c>
      <c r="Q28" s="5" t="s">
        <v>3</v>
      </c>
      <c r="R28" s="16" t="s">
        <v>3</v>
      </c>
    </row>
    <row r="29" spans="2:18" x14ac:dyDescent="0.25">
      <c r="B29" s="7" t="s">
        <v>2713</v>
      </c>
      <c r="C29" s="1" t="s">
        <v>2713</v>
      </c>
      <c r="D29" s="8" t="s">
        <v>2713</v>
      </c>
      <c r="E29" s="1" t="s">
        <v>2713</v>
      </c>
      <c r="F29" s="1" t="s">
        <v>2713</v>
      </c>
      <c r="G29" s="1" t="s">
        <v>2713</v>
      </c>
      <c r="H29" s="1" t="s">
        <v>2713</v>
      </c>
      <c r="I29" s="1" t="s">
        <v>2713</v>
      </c>
      <c r="J29" s="1" t="s">
        <v>2713</v>
      </c>
      <c r="K29" s="1" t="s">
        <v>2713</v>
      </c>
      <c r="L29" s="1" t="s">
        <v>2713</v>
      </c>
      <c r="M29" s="1" t="s">
        <v>2713</v>
      </c>
      <c r="N29" s="1" t="s">
        <v>2713</v>
      </c>
      <c r="O29" s="1" t="s">
        <v>2713</v>
      </c>
      <c r="P29" s="1" t="s">
        <v>2713</v>
      </c>
      <c r="Q29" s="1" t="s">
        <v>2713</v>
      </c>
      <c r="R29" s="1" t="s">
        <v>2713</v>
      </c>
    </row>
    <row r="30" spans="2:18" ht="27.6" x14ac:dyDescent="0.25">
      <c r="B30" s="21" t="s">
        <v>3848</v>
      </c>
      <c r="C30" s="19" t="s">
        <v>3530</v>
      </c>
      <c r="D30" s="17"/>
      <c r="E30" s="2"/>
      <c r="F30" s="2"/>
      <c r="G30" s="2"/>
      <c r="H30" s="2"/>
      <c r="I30" s="2"/>
      <c r="J30" s="3">
        <f>SUM('GMIC_2020-Annu_SCDPT6SN1'!SCDPT6SN1_06BEGIN_8:'GMIC_2020-Annu_SCDPT6SN1'!SCDPT6SN1_06ENDIN_8)</f>
        <v>0</v>
      </c>
      <c r="K30" s="3">
        <f>SUM('GMIC_2020-Annu_SCDPT6SN1'!SCDPT6SN1_06BEGIN_9:'GMIC_2020-Annu_SCDPT6SN1'!SCDPT6SN1_06ENDIN_9)</f>
        <v>0</v>
      </c>
      <c r="L30" s="3">
        <f>SUM('GMIC_2020-Annu_SCDPT6SN1'!SCDPT6SN1_06BEGIN_10:'GMIC_2020-Annu_SCDPT6SN1'!SCDPT6SN1_06ENDIN_10)</f>
        <v>0</v>
      </c>
      <c r="M30" s="2"/>
      <c r="N30" s="2"/>
      <c r="O30" s="2"/>
      <c r="P30" s="2"/>
      <c r="Q30" s="2"/>
      <c r="R30" s="2"/>
    </row>
    <row r="31" spans="2:18" x14ac:dyDescent="0.25">
      <c r="B31" s="7" t="s">
        <v>2713</v>
      </c>
      <c r="C31" s="1" t="s">
        <v>2713</v>
      </c>
      <c r="D31" s="8" t="s">
        <v>2713</v>
      </c>
      <c r="E31" s="1" t="s">
        <v>2713</v>
      </c>
      <c r="F31" s="1" t="s">
        <v>2713</v>
      </c>
      <c r="G31" s="1" t="s">
        <v>2713</v>
      </c>
      <c r="H31" s="1" t="s">
        <v>2713</v>
      </c>
      <c r="I31" s="1" t="s">
        <v>2713</v>
      </c>
      <c r="J31" s="1" t="s">
        <v>2713</v>
      </c>
      <c r="K31" s="1" t="s">
        <v>2713</v>
      </c>
      <c r="L31" s="1" t="s">
        <v>2713</v>
      </c>
      <c r="M31" s="1" t="s">
        <v>2713</v>
      </c>
      <c r="N31" s="1" t="s">
        <v>2713</v>
      </c>
      <c r="O31" s="1" t="s">
        <v>2713</v>
      </c>
      <c r="P31" s="1" t="s">
        <v>2713</v>
      </c>
      <c r="Q31" s="1" t="s">
        <v>2713</v>
      </c>
      <c r="R31" s="1" t="s">
        <v>2713</v>
      </c>
    </row>
    <row r="32" spans="2:18" x14ac:dyDescent="0.25">
      <c r="B32" s="18" t="s">
        <v>1632</v>
      </c>
      <c r="C32" s="25" t="s">
        <v>3846</v>
      </c>
      <c r="D32" s="20" t="s">
        <v>3</v>
      </c>
      <c r="E32" s="22" t="s">
        <v>3</v>
      </c>
      <c r="F32" s="48" t="s">
        <v>3</v>
      </c>
      <c r="G32" s="47" t="s">
        <v>3</v>
      </c>
      <c r="H32" s="49" t="s">
        <v>3</v>
      </c>
      <c r="I32" s="50" t="s">
        <v>3</v>
      </c>
      <c r="J32" s="4"/>
      <c r="K32" s="4"/>
      <c r="L32" s="4"/>
      <c r="M32" s="28"/>
      <c r="N32" s="46"/>
      <c r="O32" s="5" t="s">
        <v>3</v>
      </c>
      <c r="P32" s="5" t="s">
        <v>3</v>
      </c>
      <c r="Q32" s="5" t="s">
        <v>3</v>
      </c>
      <c r="R32" s="16" t="s">
        <v>3</v>
      </c>
    </row>
    <row r="33" spans="2:18" x14ac:dyDescent="0.25">
      <c r="B33" s="7" t="s">
        <v>2713</v>
      </c>
      <c r="C33" s="1" t="s">
        <v>2713</v>
      </c>
      <c r="D33" s="8" t="s">
        <v>2713</v>
      </c>
      <c r="E33" s="1" t="s">
        <v>2713</v>
      </c>
      <c r="F33" s="1" t="s">
        <v>2713</v>
      </c>
      <c r="G33" s="1" t="s">
        <v>2713</v>
      </c>
      <c r="H33" s="1" t="s">
        <v>2713</v>
      </c>
      <c r="I33" s="1" t="s">
        <v>2713</v>
      </c>
      <c r="J33" s="1" t="s">
        <v>2713</v>
      </c>
      <c r="K33" s="1" t="s">
        <v>2713</v>
      </c>
      <c r="L33" s="1" t="s">
        <v>2713</v>
      </c>
      <c r="M33" s="1" t="s">
        <v>2713</v>
      </c>
      <c r="N33" s="1" t="s">
        <v>2713</v>
      </c>
      <c r="O33" s="1" t="s">
        <v>2713</v>
      </c>
      <c r="P33" s="1" t="s">
        <v>2713</v>
      </c>
      <c r="Q33" s="1" t="s">
        <v>2713</v>
      </c>
      <c r="R33" s="1" t="s">
        <v>2713</v>
      </c>
    </row>
    <row r="34" spans="2:18" ht="27.6" x14ac:dyDescent="0.25">
      <c r="B34" s="21" t="s">
        <v>3074</v>
      </c>
      <c r="C34" s="19" t="s">
        <v>2709</v>
      </c>
      <c r="D34" s="17"/>
      <c r="E34" s="2"/>
      <c r="F34" s="2"/>
      <c r="G34" s="2"/>
      <c r="H34" s="2"/>
      <c r="I34" s="2"/>
      <c r="J34" s="3">
        <f>SUM('GMIC_2020-Annu_SCDPT6SN1'!SCDPT6SN1_07BEGIN_8:'GMIC_2020-Annu_SCDPT6SN1'!SCDPT6SN1_07ENDIN_8)</f>
        <v>0</v>
      </c>
      <c r="K34" s="3">
        <f>SUM('GMIC_2020-Annu_SCDPT6SN1'!SCDPT6SN1_07BEGIN_9:'GMIC_2020-Annu_SCDPT6SN1'!SCDPT6SN1_07ENDIN_9)</f>
        <v>0</v>
      </c>
      <c r="L34" s="3">
        <f>SUM('GMIC_2020-Annu_SCDPT6SN1'!SCDPT6SN1_07BEGIN_10:'GMIC_2020-Annu_SCDPT6SN1'!SCDPT6SN1_07ENDIN_10)</f>
        <v>0</v>
      </c>
      <c r="M34" s="2"/>
      <c r="N34" s="2"/>
      <c r="O34" s="2"/>
      <c r="P34" s="2"/>
      <c r="Q34" s="2"/>
      <c r="R34" s="2"/>
    </row>
    <row r="35" spans="2:18" x14ac:dyDescent="0.25">
      <c r="B35" s="7" t="s">
        <v>2713</v>
      </c>
      <c r="C35" s="1" t="s">
        <v>2713</v>
      </c>
      <c r="D35" s="8" t="s">
        <v>2713</v>
      </c>
      <c r="E35" s="1" t="s">
        <v>2713</v>
      </c>
      <c r="F35" s="1" t="s">
        <v>2713</v>
      </c>
      <c r="G35" s="1" t="s">
        <v>2713</v>
      </c>
      <c r="H35" s="1" t="s">
        <v>2713</v>
      </c>
      <c r="I35" s="1" t="s">
        <v>2713</v>
      </c>
      <c r="J35" s="1" t="s">
        <v>2713</v>
      </c>
      <c r="K35" s="1" t="s">
        <v>2713</v>
      </c>
      <c r="L35" s="1" t="s">
        <v>2713</v>
      </c>
      <c r="M35" s="1" t="s">
        <v>2713</v>
      </c>
      <c r="N35" s="1" t="s">
        <v>2713</v>
      </c>
      <c r="O35" s="1" t="s">
        <v>2713</v>
      </c>
      <c r="P35" s="1" t="s">
        <v>2713</v>
      </c>
      <c r="Q35" s="1" t="s">
        <v>2713</v>
      </c>
      <c r="R35" s="1" t="s">
        <v>2713</v>
      </c>
    </row>
    <row r="36" spans="2:18" x14ac:dyDescent="0.25">
      <c r="B36" s="18" t="s">
        <v>899</v>
      </c>
      <c r="C36" s="25" t="s">
        <v>3846</v>
      </c>
      <c r="D36" s="20" t="s">
        <v>3</v>
      </c>
      <c r="E36" s="22" t="s">
        <v>3</v>
      </c>
      <c r="F36" s="48" t="s">
        <v>3</v>
      </c>
      <c r="G36" s="47" t="s">
        <v>3</v>
      </c>
      <c r="H36" s="49" t="s">
        <v>3</v>
      </c>
      <c r="I36" s="50" t="s">
        <v>3</v>
      </c>
      <c r="J36" s="4"/>
      <c r="K36" s="4"/>
      <c r="L36" s="4"/>
      <c r="M36" s="28"/>
      <c r="N36" s="46"/>
      <c r="O36" s="5" t="s">
        <v>3</v>
      </c>
      <c r="P36" s="5" t="s">
        <v>3</v>
      </c>
      <c r="Q36" s="5" t="s">
        <v>3</v>
      </c>
      <c r="R36" s="16" t="s">
        <v>3</v>
      </c>
    </row>
    <row r="37" spans="2:18" x14ac:dyDescent="0.25">
      <c r="B37" s="7" t="s">
        <v>2713</v>
      </c>
      <c r="C37" s="1" t="s">
        <v>2713</v>
      </c>
      <c r="D37" s="8" t="s">
        <v>2713</v>
      </c>
      <c r="E37" s="1" t="s">
        <v>2713</v>
      </c>
      <c r="F37" s="1" t="s">
        <v>2713</v>
      </c>
      <c r="G37" s="1" t="s">
        <v>2713</v>
      </c>
      <c r="H37" s="1" t="s">
        <v>2713</v>
      </c>
      <c r="I37" s="1" t="s">
        <v>2713</v>
      </c>
      <c r="J37" s="1" t="s">
        <v>2713</v>
      </c>
      <c r="K37" s="1" t="s">
        <v>2713</v>
      </c>
      <c r="L37" s="1" t="s">
        <v>2713</v>
      </c>
      <c r="M37" s="1" t="s">
        <v>2713</v>
      </c>
      <c r="N37" s="1" t="s">
        <v>2713</v>
      </c>
      <c r="O37" s="1" t="s">
        <v>2713</v>
      </c>
      <c r="P37" s="1" t="s">
        <v>2713</v>
      </c>
      <c r="Q37" s="1" t="s">
        <v>2713</v>
      </c>
      <c r="R37" s="1" t="s">
        <v>2713</v>
      </c>
    </row>
    <row r="38" spans="2:18" ht="27.6" x14ac:dyDescent="0.25">
      <c r="B38" s="21" t="s">
        <v>2219</v>
      </c>
      <c r="C38" s="19" t="s">
        <v>1149</v>
      </c>
      <c r="D38" s="17"/>
      <c r="E38" s="2"/>
      <c r="F38" s="2"/>
      <c r="G38" s="2"/>
      <c r="H38" s="2"/>
      <c r="I38" s="2"/>
      <c r="J38" s="3">
        <f>SUM('GMIC_2020-Annu_SCDPT6SN1'!SCDPT6SN1_08BEGIN_8:'GMIC_2020-Annu_SCDPT6SN1'!SCDPT6SN1_08ENDIN_8)</f>
        <v>0</v>
      </c>
      <c r="K38" s="3">
        <f>SUM('GMIC_2020-Annu_SCDPT6SN1'!SCDPT6SN1_08BEGIN_9:'GMIC_2020-Annu_SCDPT6SN1'!SCDPT6SN1_08ENDIN_9)</f>
        <v>0</v>
      </c>
      <c r="L38" s="3">
        <f>SUM('GMIC_2020-Annu_SCDPT6SN1'!SCDPT6SN1_08BEGIN_10:'GMIC_2020-Annu_SCDPT6SN1'!SCDPT6SN1_08ENDIN_10)</f>
        <v>0</v>
      </c>
      <c r="M38" s="2"/>
      <c r="N38" s="2"/>
      <c r="O38" s="2"/>
      <c r="P38" s="2"/>
      <c r="Q38" s="2"/>
      <c r="R38" s="2"/>
    </row>
    <row r="39" spans="2:18" x14ac:dyDescent="0.25">
      <c r="B39" s="21" t="s">
        <v>1347</v>
      </c>
      <c r="C39" s="19" t="s">
        <v>2710</v>
      </c>
      <c r="D39" s="17"/>
      <c r="E39" s="2"/>
      <c r="F39" s="2"/>
      <c r="G39" s="2"/>
      <c r="H39" s="2"/>
      <c r="I39" s="2"/>
      <c r="J39" s="3">
        <f>'GMIC_2020-Annu_SCDPT6SN1'!SCDPT6SN1_0199999_8+'GMIC_2020-Annu_SCDPT6SN1'!SCDPT6SN1_0299999_8+'GMIC_2020-Annu_SCDPT6SN1'!SCDPT6SN1_0399999_8+'GMIC_2020-Annu_SCDPT6SN1'!SCDPT6SN1_0499999_8+'GMIC_2020-Annu_SCDPT6SN1'!SCDPT6SN1_0599999_8+'GMIC_2020-Annu_SCDPT6SN1'!SCDPT6SN1_0699999_8+'GMIC_2020-Annu_SCDPT6SN1'!SCDPT6SN1_0799999_8+'GMIC_2020-Annu_SCDPT6SN1'!SCDPT6SN1_0899999_8</f>
        <v>0</v>
      </c>
      <c r="K39" s="3">
        <f>'GMIC_2020-Annu_SCDPT6SN1'!SCDPT6SN1_0199999_9+'GMIC_2020-Annu_SCDPT6SN1'!SCDPT6SN1_0299999_9+'GMIC_2020-Annu_SCDPT6SN1'!SCDPT6SN1_0399999_9+'GMIC_2020-Annu_SCDPT6SN1'!SCDPT6SN1_0499999_9+'GMIC_2020-Annu_SCDPT6SN1'!SCDPT6SN1_0599999_9+'GMIC_2020-Annu_SCDPT6SN1'!SCDPT6SN1_0699999_9+'GMIC_2020-Annu_SCDPT6SN1'!SCDPT6SN1_0799999_9+'GMIC_2020-Annu_SCDPT6SN1'!SCDPT6SN1_0899999_9</f>
        <v>0</v>
      </c>
      <c r="L39" s="3">
        <f>'GMIC_2020-Annu_SCDPT6SN1'!SCDPT6SN1_0199999_10+'GMIC_2020-Annu_SCDPT6SN1'!SCDPT6SN1_0299999_10+'GMIC_2020-Annu_SCDPT6SN1'!SCDPT6SN1_0399999_10+'GMIC_2020-Annu_SCDPT6SN1'!SCDPT6SN1_0499999_10+'GMIC_2020-Annu_SCDPT6SN1'!SCDPT6SN1_0599999_10+'GMIC_2020-Annu_SCDPT6SN1'!SCDPT6SN1_0699999_10+'GMIC_2020-Annu_SCDPT6SN1'!SCDPT6SN1_0799999_10+'GMIC_2020-Annu_SCDPT6SN1'!SCDPT6SN1_0899999_10</f>
        <v>0</v>
      </c>
      <c r="M39" s="2"/>
      <c r="N39" s="2"/>
      <c r="O39" s="2"/>
      <c r="P39" s="2"/>
      <c r="Q39" s="2"/>
      <c r="R39" s="2"/>
    </row>
    <row r="40" spans="2:18" x14ac:dyDescent="0.25">
      <c r="B40" s="7" t="s">
        <v>2713</v>
      </c>
      <c r="C40" s="1" t="s">
        <v>2713</v>
      </c>
      <c r="D40" s="8" t="s">
        <v>2713</v>
      </c>
      <c r="E40" s="1" t="s">
        <v>2713</v>
      </c>
      <c r="F40" s="1" t="s">
        <v>2713</v>
      </c>
      <c r="G40" s="1" t="s">
        <v>2713</v>
      </c>
      <c r="H40" s="1" t="s">
        <v>2713</v>
      </c>
      <c r="I40" s="1" t="s">
        <v>2713</v>
      </c>
      <c r="J40" s="1" t="s">
        <v>2713</v>
      </c>
      <c r="K40" s="1" t="s">
        <v>2713</v>
      </c>
      <c r="L40" s="1" t="s">
        <v>2713</v>
      </c>
      <c r="M40" s="1" t="s">
        <v>2713</v>
      </c>
      <c r="N40" s="1" t="s">
        <v>2713</v>
      </c>
      <c r="O40" s="1" t="s">
        <v>2713</v>
      </c>
      <c r="P40" s="1" t="s">
        <v>2713</v>
      </c>
      <c r="Q40" s="1" t="s">
        <v>2713</v>
      </c>
      <c r="R40" s="1" t="s">
        <v>2713</v>
      </c>
    </row>
    <row r="41" spans="2:18" x14ac:dyDescent="0.25">
      <c r="B41" s="18" t="s">
        <v>1103</v>
      </c>
      <c r="C41" s="25" t="s">
        <v>3846</v>
      </c>
      <c r="D41" s="20" t="s">
        <v>3</v>
      </c>
      <c r="E41" s="22" t="s">
        <v>3</v>
      </c>
      <c r="F41" s="48" t="s">
        <v>3</v>
      </c>
      <c r="G41" s="47" t="s">
        <v>3</v>
      </c>
      <c r="H41" s="49" t="s">
        <v>3</v>
      </c>
      <c r="I41" s="50" t="s">
        <v>3</v>
      </c>
      <c r="J41" s="4"/>
      <c r="K41" s="4"/>
      <c r="L41" s="4"/>
      <c r="M41" s="28"/>
      <c r="N41" s="46"/>
      <c r="O41" s="5" t="s">
        <v>3</v>
      </c>
      <c r="P41" s="5" t="s">
        <v>3</v>
      </c>
      <c r="Q41" s="5" t="s">
        <v>3</v>
      </c>
      <c r="R41" s="16" t="s">
        <v>3</v>
      </c>
    </row>
    <row r="42" spans="2:18" x14ac:dyDescent="0.25">
      <c r="B42" s="7" t="s">
        <v>2713</v>
      </c>
      <c r="C42" s="1" t="s">
        <v>2713</v>
      </c>
      <c r="D42" s="8" t="s">
        <v>2713</v>
      </c>
      <c r="E42" s="1" t="s">
        <v>2713</v>
      </c>
      <c r="F42" s="1" t="s">
        <v>2713</v>
      </c>
      <c r="G42" s="1" t="s">
        <v>2713</v>
      </c>
      <c r="H42" s="1" t="s">
        <v>2713</v>
      </c>
      <c r="I42" s="1" t="s">
        <v>2713</v>
      </c>
      <c r="J42" s="1" t="s">
        <v>2713</v>
      </c>
      <c r="K42" s="1" t="s">
        <v>2713</v>
      </c>
      <c r="L42" s="1" t="s">
        <v>2713</v>
      </c>
      <c r="M42" s="1" t="s">
        <v>2713</v>
      </c>
      <c r="N42" s="1" t="s">
        <v>2713</v>
      </c>
      <c r="O42" s="1" t="s">
        <v>2713</v>
      </c>
      <c r="P42" s="1" t="s">
        <v>2713</v>
      </c>
      <c r="Q42" s="1" t="s">
        <v>2713</v>
      </c>
      <c r="R42" s="1" t="s">
        <v>2713</v>
      </c>
    </row>
    <row r="43" spans="2:18" ht="27.6" x14ac:dyDescent="0.25">
      <c r="B43" s="21" t="s">
        <v>2220</v>
      </c>
      <c r="C43" s="19" t="s">
        <v>1976</v>
      </c>
      <c r="D43" s="17"/>
      <c r="E43" s="2"/>
      <c r="F43" s="2"/>
      <c r="G43" s="2"/>
      <c r="H43" s="2"/>
      <c r="I43" s="2"/>
      <c r="J43" s="3">
        <f>SUM('GMIC_2020-Annu_SCDPT6SN1'!SCDPT6SN1_10BEGIN_8:'GMIC_2020-Annu_SCDPT6SN1'!SCDPT6SN1_10ENDIN_8)</f>
        <v>0</v>
      </c>
      <c r="K43" s="3">
        <f>SUM('GMIC_2020-Annu_SCDPT6SN1'!SCDPT6SN1_10BEGIN_9:'GMIC_2020-Annu_SCDPT6SN1'!SCDPT6SN1_10ENDIN_9)</f>
        <v>0</v>
      </c>
      <c r="L43" s="3">
        <f>SUM('GMIC_2020-Annu_SCDPT6SN1'!SCDPT6SN1_10BEGIN_10:'GMIC_2020-Annu_SCDPT6SN1'!SCDPT6SN1_10ENDIN_10)</f>
        <v>0</v>
      </c>
      <c r="M43" s="2"/>
      <c r="N43" s="2"/>
      <c r="O43" s="2"/>
      <c r="P43" s="2"/>
      <c r="Q43" s="2"/>
      <c r="R43" s="2"/>
    </row>
    <row r="44" spans="2:18" x14ac:dyDescent="0.25">
      <c r="B44" s="7" t="s">
        <v>2713</v>
      </c>
      <c r="C44" s="1" t="s">
        <v>2713</v>
      </c>
      <c r="D44" s="8" t="s">
        <v>2713</v>
      </c>
      <c r="E44" s="1" t="s">
        <v>2713</v>
      </c>
      <c r="F44" s="1" t="s">
        <v>2713</v>
      </c>
      <c r="G44" s="1" t="s">
        <v>2713</v>
      </c>
      <c r="H44" s="1" t="s">
        <v>2713</v>
      </c>
      <c r="I44" s="1" t="s">
        <v>2713</v>
      </c>
      <c r="J44" s="1" t="s">
        <v>2713</v>
      </c>
      <c r="K44" s="1" t="s">
        <v>2713</v>
      </c>
      <c r="L44" s="1" t="s">
        <v>2713</v>
      </c>
      <c r="M44" s="1" t="s">
        <v>2713</v>
      </c>
      <c r="N44" s="1" t="s">
        <v>2713</v>
      </c>
      <c r="O44" s="1" t="s">
        <v>2713</v>
      </c>
      <c r="P44" s="1" t="s">
        <v>2713</v>
      </c>
      <c r="Q44" s="1" t="s">
        <v>2713</v>
      </c>
      <c r="R44" s="1" t="s">
        <v>2713</v>
      </c>
    </row>
    <row r="45" spans="2:18" x14ac:dyDescent="0.25">
      <c r="B45" s="18" t="s">
        <v>243</v>
      </c>
      <c r="C45" s="25" t="s">
        <v>3846</v>
      </c>
      <c r="D45" s="20" t="s">
        <v>3</v>
      </c>
      <c r="E45" s="22" t="s">
        <v>3</v>
      </c>
      <c r="F45" s="48" t="s">
        <v>3</v>
      </c>
      <c r="G45" s="47" t="s">
        <v>3</v>
      </c>
      <c r="H45" s="49" t="s">
        <v>3</v>
      </c>
      <c r="I45" s="50" t="s">
        <v>3</v>
      </c>
      <c r="J45" s="4"/>
      <c r="K45" s="4"/>
      <c r="L45" s="4"/>
      <c r="M45" s="28"/>
      <c r="N45" s="46"/>
      <c r="O45" s="5" t="s">
        <v>3</v>
      </c>
      <c r="P45" s="5" t="s">
        <v>3</v>
      </c>
      <c r="Q45" s="5" t="s">
        <v>3</v>
      </c>
      <c r="R45" s="16" t="s">
        <v>3</v>
      </c>
    </row>
    <row r="46" spans="2:18" x14ac:dyDescent="0.25">
      <c r="B46" s="7" t="s">
        <v>2713</v>
      </c>
      <c r="C46" s="1" t="s">
        <v>2713</v>
      </c>
      <c r="D46" s="8" t="s">
        <v>2713</v>
      </c>
      <c r="E46" s="1" t="s">
        <v>2713</v>
      </c>
      <c r="F46" s="1" t="s">
        <v>2713</v>
      </c>
      <c r="G46" s="1" t="s">
        <v>2713</v>
      </c>
      <c r="H46" s="1" t="s">
        <v>2713</v>
      </c>
      <c r="I46" s="1" t="s">
        <v>2713</v>
      </c>
      <c r="J46" s="1" t="s">
        <v>2713</v>
      </c>
      <c r="K46" s="1" t="s">
        <v>2713</v>
      </c>
      <c r="L46" s="1" t="s">
        <v>2713</v>
      </c>
      <c r="M46" s="1" t="s">
        <v>2713</v>
      </c>
      <c r="N46" s="1" t="s">
        <v>2713</v>
      </c>
      <c r="O46" s="1" t="s">
        <v>2713</v>
      </c>
      <c r="P46" s="1" t="s">
        <v>2713</v>
      </c>
      <c r="Q46" s="1" t="s">
        <v>2713</v>
      </c>
      <c r="R46" s="1" t="s">
        <v>2713</v>
      </c>
    </row>
    <row r="47" spans="2:18" ht="27.6" x14ac:dyDescent="0.25">
      <c r="B47" s="21" t="s">
        <v>1352</v>
      </c>
      <c r="C47" s="19" t="s">
        <v>1150</v>
      </c>
      <c r="D47" s="17"/>
      <c r="E47" s="2"/>
      <c r="F47" s="2"/>
      <c r="G47" s="2"/>
      <c r="H47" s="2"/>
      <c r="I47" s="2"/>
      <c r="J47" s="3">
        <f>SUM('GMIC_2020-Annu_SCDPT6SN1'!SCDPT6SN1_11BEGIN_8:'GMIC_2020-Annu_SCDPT6SN1'!SCDPT6SN1_11ENDIN_8)</f>
        <v>0</v>
      </c>
      <c r="K47" s="3">
        <f>SUM('GMIC_2020-Annu_SCDPT6SN1'!SCDPT6SN1_11BEGIN_9:'GMIC_2020-Annu_SCDPT6SN1'!SCDPT6SN1_11ENDIN_9)</f>
        <v>0</v>
      </c>
      <c r="L47" s="3">
        <f>SUM('GMIC_2020-Annu_SCDPT6SN1'!SCDPT6SN1_11BEGIN_10:'GMIC_2020-Annu_SCDPT6SN1'!SCDPT6SN1_11ENDIN_10)</f>
        <v>0</v>
      </c>
      <c r="M47" s="2"/>
      <c r="N47" s="2"/>
      <c r="O47" s="2"/>
      <c r="P47" s="2"/>
      <c r="Q47" s="2"/>
      <c r="R47" s="2"/>
    </row>
    <row r="48" spans="2:18" x14ac:dyDescent="0.25">
      <c r="B48" s="7" t="s">
        <v>2713</v>
      </c>
      <c r="C48" s="1" t="s">
        <v>2713</v>
      </c>
      <c r="D48" s="8" t="s">
        <v>2713</v>
      </c>
      <c r="E48" s="1" t="s">
        <v>2713</v>
      </c>
      <c r="F48" s="1" t="s">
        <v>2713</v>
      </c>
      <c r="G48" s="1" t="s">
        <v>2713</v>
      </c>
      <c r="H48" s="1" t="s">
        <v>2713</v>
      </c>
      <c r="I48" s="1" t="s">
        <v>2713</v>
      </c>
      <c r="J48" s="1" t="s">
        <v>2713</v>
      </c>
      <c r="K48" s="1" t="s">
        <v>2713</v>
      </c>
      <c r="L48" s="1" t="s">
        <v>2713</v>
      </c>
      <c r="M48" s="1" t="s">
        <v>2713</v>
      </c>
      <c r="N48" s="1" t="s">
        <v>2713</v>
      </c>
      <c r="O48" s="1" t="s">
        <v>2713</v>
      </c>
      <c r="P48" s="1" t="s">
        <v>2713</v>
      </c>
      <c r="Q48" s="1" t="s">
        <v>2713</v>
      </c>
      <c r="R48" s="1" t="s">
        <v>2713</v>
      </c>
    </row>
    <row r="49" spans="2:18" x14ac:dyDescent="0.25">
      <c r="B49" s="18" t="s">
        <v>3535</v>
      </c>
      <c r="C49" s="25" t="s">
        <v>3846</v>
      </c>
      <c r="D49" s="20" t="s">
        <v>3</v>
      </c>
      <c r="E49" s="22" t="s">
        <v>3</v>
      </c>
      <c r="F49" s="48" t="s">
        <v>3</v>
      </c>
      <c r="G49" s="47" t="s">
        <v>3</v>
      </c>
      <c r="H49" s="49" t="s">
        <v>3</v>
      </c>
      <c r="I49" s="50" t="s">
        <v>3</v>
      </c>
      <c r="J49" s="4"/>
      <c r="K49" s="4"/>
      <c r="L49" s="4"/>
      <c r="M49" s="28"/>
      <c r="N49" s="46"/>
      <c r="O49" s="5" t="s">
        <v>3</v>
      </c>
      <c r="P49" s="5" t="s">
        <v>3</v>
      </c>
      <c r="Q49" s="5" t="s">
        <v>3</v>
      </c>
      <c r="R49" s="16" t="s">
        <v>3</v>
      </c>
    </row>
    <row r="50" spans="2:18" x14ac:dyDescent="0.25">
      <c r="B50" s="7" t="s">
        <v>2713</v>
      </c>
      <c r="C50" s="1" t="s">
        <v>2713</v>
      </c>
      <c r="D50" s="8" t="s">
        <v>2713</v>
      </c>
      <c r="E50" s="1" t="s">
        <v>2713</v>
      </c>
      <c r="F50" s="1" t="s">
        <v>2713</v>
      </c>
      <c r="G50" s="1" t="s">
        <v>2713</v>
      </c>
      <c r="H50" s="1" t="s">
        <v>2713</v>
      </c>
      <c r="I50" s="1" t="s">
        <v>2713</v>
      </c>
      <c r="J50" s="1" t="s">
        <v>2713</v>
      </c>
      <c r="K50" s="1" t="s">
        <v>2713</v>
      </c>
      <c r="L50" s="1" t="s">
        <v>2713</v>
      </c>
      <c r="M50" s="1" t="s">
        <v>2713</v>
      </c>
      <c r="N50" s="1" t="s">
        <v>2713</v>
      </c>
      <c r="O50" s="1" t="s">
        <v>2713</v>
      </c>
      <c r="P50" s="1" t="s">
        <v>2713</v>
      </c>
      <c r="Q50" s="1" t="s">
        <v>2713</v>
      </c>
      <c r="R50" s="1" t="s">
        <v>2713</v>
      </c>
    </row>
    <row r="51" spans="2:18" ht="27.6" x14ac:dyDescent="0.25">
      <c r="B51" s="21" t="s">
        <v>554</v>
      </c>
      <c r="C51" s="19" t="s">
        <v>3836</v>
      </c>
      <c r="D51" s="17"/>
      <c r="E51" s="2"/>
      <c r="F51" s="2"/>
      <c r="G51" s="2"/>
      <c r="H51" s="2"/>
      <c r="I51" s="2"/>
      <c r="J51" s="3">
        <f>SUM('GMIC_2020-Annu_SCDPT6SN1'!SCDPT6SN1_12BEGIN_8:'GMIC_2020-Annu_SCDPT6SN1'!SCDPT6SN1_12ENDIN_8)</f>
        <v>0</v>
      </c>
      <c r="K51" s="3">
        <f>SUM('GMIC_2020-Annu_SCDPT6SN1'!SCDPT6SN1_12BEGIN_9:'GMIC_2020-Annu_SCDPT6SN1'!SCDPT6SN1_12ENDIN_9)</f>
        <v>0</v>
      </c>
      <c r="L51" s="3">
        <f>SUM('GMIC_2020-Annu_SCDPT6SN1'!SCDPT6SN1_12BEGIN_10:'GMIC_2020-Annu_SCDPT6SN1'!SCDPT6SN1_12ENDIN_10)</f>
        <v>0</v>
      </c>
      <c r="M51" s="2"/>
      <c r="N51" s="2"/>
      <c r="O51" s="2"/>
      <c r="P51" s="2"/>
      <c r="Q51" s="2"/>
      <c r="R51" s="2"/>
    </row>
    <row r="52" spans="2:18" x14ac:dyDescent="0.25">
      <c r="B52" s="7" t="s">
        <v>2713</v>
      </c>
      <c r="C52" s="1" t="s">
        <v>2713</v>
      </c>
      <c r="D52" s="8" t="s">
        <v>2713</v>
      </c>
      <c r="E52" s="1" t="s">
        <v>2713</v>
      </c>
      <c r="F52" s="1" t="s">
        <v>2713</v>
      </c>
      <c r="G52" s="1" t="s">
        <v>2713</v>
      </c>
      <c r="H52" s="1" t="s">
        <v>2713</v>
      </c>
      <c r="I52" s="1" t="s">
        <v>2713</v>
      </c>
      <c r="J52" s="1" t="s">
        <v>2713</v>
      </c>
      <c r="K52" s="1" t="s">
        <v>2713</v>
      </c>
      <c r="L52" s="1" t="s">
        <v>2713</v>
      </c>
      <c r="M52" s="1" t="s">
        <v>2713</v>
      </c>
      <c r="N52" s="1" t="s">
        <v>2713</v>
      </c>
      <c r="O52" s="1" t="s">
        <v>2713</v>
      </c>
      <c r="P52" s="1" t="s">
        <v>2713</v>
      </c>
      <c r="Q52" s="1" t="s">
        <v>2713</v>
      </c>
      <c r="R52" s="1" t="s">
        <v>2713</v>
      </c>
    </row>
    <row r="53" spans="2:18" x14ac:dyDescent="0.25">
      <c r="B53" s="18" t="s">
        <v>3077</v>
      </c>
      <c r="C53" s="25" t="s">
        <v>3846</v>
      </c>
      <c r="D53" s="20" t="s">
        <v>3</v>
      </c>
      <c r="E53" s="22" t="s">
        <v>3</v>
      </c>
      <c r="F53" s="48" t="s">
        <v>3</v>
      </c>
      <c r="G53" s="47" t="s">
        <v>3</v>
      </c>
      <c r="H53" s="49" t="s">
        <v>3</v>
      </c>
      <c r="I53" s="50" t="s">
        <v>3</v>
      </c>
      <c r="J53" s="4"/>
      <c r="K53" s="4"/>
      <c r="L53" s="4"/>
      <c r="M53" s="28"/>
      <c r="N53" s="46"/>
      <c r="O53" s="5" t="s">
        <v>3</v>
      </c>
      <c r="P53" s="5" t="s">
        <v>3</v>
      </c>
      <c r="Q53" s="5" t="s">
        <v>3</v>
      </c>
      <c r="R53" s="16" t="s">
        <v>3</v>
      </c>
    </row>
    <row r="54" spans="2:18" x14ac:dyDescent="0.25">
      <c r="B54" s="7" t="s">
        <v>2713</v>
      </c>
      <c r="C54" s="1" t="s">
        <v>2713</v>
      </c>
      <c r="D54" s="8" t="s">
        <v>2713</v>
      </c>
      <c r="E54" s="1" t="s">
        <v>2713</v>
      </c>
      <c r="F54" s="1" t="s">
        <v>2713</v>
      </c>
      <c r="G54" s="1" t="s">
        <v>2713</v>
      </c>
      <c r="H54" s="1" t="s">
        <v>2713</v>
      </c>
      <c r="I54" s="1" t="s">
        <v>2713</v>
      </c>
      <c r="J54" s="1" t="s">
        <v>2713</v>
      </c>
      <c r="K54" s="1" t="s">
        <v>2713</v>
      </c>
      <c r="L54" s="1" t="s">
        <v>2713</v>
      </c>
      <c r="M54" s="1" t="s">
        <v>2713</v>
      </c>
      <c r="N54" s="1" t="s">
        <v>2713</v>
      </c>
      <c r="O54" s="1" t="s">
        <v>2713</v>
      </c>
      <c r="P54" s="1" t="s">
        <v>2713</v>
      </c>
      <c r="Q54" s="1" t="s">
        <v>2713</v>
      </c>
      <c r="R54" s="1" t="s">
        <v>2713</v>
      </c>
    </row>
    <row r="55" spans="2:18" ht="27.6" x14ac:dyDescent="0.25">
      <c r="B55" s="21" t="s">
        <v>15</v>
      </c>
      <c r="C55" s="19" t="s">
        <v>4195</v>
      </c>
      <c r="D55" s="17"/>
      <c r="E55" s="2"/>
      <c r="F55" s="2"/>
      <c r="G55" s="2"/>
      <c r="H55" s="2"/>
      <c r="I55" s="2"/>
      <c r="J55" s="3">
        <f>SUM('GMIC_2020-Annu_SCDPT6SN1'!SCDPT6SN1_13BEGIN_8:'GMIC_2020-Annu_SCDPT6SN1'!SCDPT6SN1_13ENDIN_8)</f>
        <v>0</v>
      </c>
      <c r="K55" s="3">
        <f>SUM('GMIC_2020-Annu_SCDPT6SN1'!SCDPT6SN1_13BEGIN_9:'GMIC_2020-Annu_SCDPT6SN1'!SCDPT6SN1_13ENDIN_9)</f>
        <v>0</v>
      </c>
      <c r="L55" s="3">
        <f>SUM('GMIC_2020-Annu_SCDPT6SN1'!SCDPT6SN1_13BEGIN_10:'GMIC_2020-Annu_SCDPT6SN1'!SCDPT6SN1_13ENDIN_10)</f>
        <v>0</v>
      </c>
      <c r="M55" s="2"/>
      <c r="N55" s="2"/>
      <c r="O55" s="2"/>
      <c r="P55" s="2"/>
      <c r="Q55" s="2"/>
      <c r="R55" s="2"/>
    </row>
    <row r="56" spans="2:18" x14ac:dyDescent="0.25">
      <c r="B56" s="7" t="s">
        <v>2713</v>
      </c>
      <c r="C56" s="1" t="s">
        <v>2713</v>
      </c>
      <c r="D56" s="8" t="s">
        <v>2713</v>
      </c>
      <c r="E56" s="1" t="s">
        <v>2713</v>
      </c>
      <c r="F56" s="1" t="s">
        <v>2713</v>
      </c>
      <c r="G56" s="1" t="s">
        <v>2713</v>
      </c>
      <c r="H56" s="1" t="s">
        <v>2713</v>
      </c>
      <c r="I56" s="1" t="s">
        <v>2713</v>
      </c>
      <c r="J56" s="1" t="s">
        <v>2713</v>
      </c>
      <c r="K56" s="1" t="s">
        <v>2713</v>
      </c>
      <c r="L56" s="1" t="s">
        <v>2713</v>
      </c>
      <c r="M56" s="1" t="s">
        <v>2713</v>
      </c>
      <c r="N56" s="1" t="s">
        <v>2713</v>
      </c>
      <c r="O56" s="1" t="s">
        <v>2713</v>
      </c>
      <c r="P56" s="1" t="s">
        <v>2713</v>
      </c>
      <c r="Q56" s="1" t="s">
        <v>2713</v>
      </c>
      <c r="R56" s="1" t="s">
        <v>2713</v>
      </c>
    </row>
    <row r="57" spans="2:18" x14ac:dyDescent="0.25">
      <c r="B57" s="18" t="s">
        <v>2223</v>
      </c>
      <c r="C57" s="25" t="s">
        <v>3846</v>
      </c>
      <c r="D57" s="20" t="s">
        <v>3</v>
      </c>
      <c r="E57" s="22" t="s">
        <v>3</v>
      </c>
      <c r="F57" s="48" t="s">
        <v>3</v>
      </c>
      <c r="G57" s="47" t="s">
        <v>3</v>
      </c>
      <c r="H57" s="49" t="s">
        <v>3</v>
      </c>
      <c r="I57" s="50" t="s">
        <v>3</v>
      </c>
      <c r="J57" s="4"/>
      <c r="K57" s="4"/>
      <c r="L57" s="4"/>
      <c r="M57" s="28"/>
      <c r="N57" s="46"/>
      <c r="O57" s="5" t="s">
        <v>3</v>
      </c>
      <c r="P57" s="5" t="s">
        <v>3</v>
      </c>
      <c r="Q57" s="5" t="s">
        <v>3</v>
      </c>
      <c r="R57" s="16" t="s">
        <v>3</v>
      </c>
    </row>
    <row r="58" spans="2:18" x14ac:dyDescent="0.25">
      <c r="B58" s="7" t="s">
        <v>2713</v>
      </c>
      <c r="C58" s="1" t="s">
        <v>2713</v>
      </c>
      <c r="D58" s="8" t="s">
        <v>2713</v>
      </c>
      <c r="E58" s="1" t="s">
        <v>2713</v>
      </c>
      <c r="F58" s="1" t="s">
        <v>2713</v>
      </c>
      <c r="G58" s="1" t="s">
        <v>2713</v>
      </c>
      <c r="H58" s="1" t="s">
        <v>2713</v>
      </c>
      <c r="I58" s="1" t="s">
        <v>2713</v>
      </c>
      <c r="J58" s="1" t="s">
        <v>2713</v>
      </c>
      <c r="K58" s="1" t="s">
        <v>2713</v>
      </c>
      <c r="L58" s="1" t="s">
        <v>2713</v>
      </c>
      <c r="M58" s="1" t="s">
        <v>2713</v>
      </c>
      <c r="N58" s="1" t="s">
        <v>2713</v>
      </c>
      <c r="O58" s="1" t="s">
        <v>2713</v>
      </c>
      <c r="P58" s="1" t="s">
        <v>2713</v>
      </c>
      <c r="Q58" s="1" t="s">
        <v>2713</v>
      </c>
      <c r="R58" s="1" t="s">
        <v>2713</v>
      </c>
    </row>
    <row r="59" spans="2:18" ht="27.6" x14ac:dyDescent="0.25">
      <c r="B59" s="21" t="s">
        <v>3536</v>
      </c>
      <c r="C59" s="19" t="s">
        <v>882</v>
      </c>
      <c r="D59" s="17"/>
      <c r="E59" s="2"/>
      <c r="F59" s="2"/>
      <c r="G59" s="2"/>
      <c r="H59" s="2"/>
      <c r="I59" s="2"/>
      <c r="J59" s="3">
        <f>SUM('GMIC_2020-Annu_SCDPT6SN1'!SCDPT6SN1_14BEGIN_8:'GMIC_2020-Annu_SCDPT6SN1'!SCDPT6SN1_14ENDIN_8)</f>
        <v>0</v>
      </c>
      <c r="K59" s="3">
        <f>SUM('GMIC_2020-Annu_SCDPT6SN1'!SCDPT6SN1_14BEGIN_9:'GMIC_2020-Annu_SCDPT6SN1'!SCDPT6SN1_14ENDIN_9)</f>
        <v>0</v>
      </c>
      <c r="L59" s="3">
        <f>SUM('GMIC_2020-Annu_SCDPT6SN1'!SCDPT6SN1_14BEGIN_10:'GMIC_2020-Annu_SCDPT6SN1'!SCDPT6SN1_14ENDIN_10)</f>
        <v>0</v>
      </c>
      <c r="M59" s="2"/>
      <c r="N59" s="2"/>
      <c r="O59" s="2"/>
      <c r="P59" s="2"/>
      <c r="Q59" s="2"/>
      <c r="R59" s="2"/>
    </row>
    <row r="60" spans="2:18" x14ac:dyDescent="0.25">
      <c r="B60" s="7" t="s">
        <v>2713</v>
      </c>
      <c r="C60" s="1" t="s">
        <v>2713</v>
      </c>
      <c r="D60" s="8" t="s">
        <v>2713</v>
      </c>
      <c r="E60" s="1" t="s">
        <v>2713</v>
      </c>
      <c r="F60" s="1" t="s">
        <v>2713</v>
      </c>
      <c r="G60" s="1" t="s">
        <v>2713</v>
      </c>
      <c r="H60" s="1" t="s">
        <v>2713</v>
      </c>
      <c r="I60" s="1" t="s">
        <v>2713</v>
      </c>
      <c r="J60" s="1" t="s">
        <v>2713</v>
      </c>
      <c r="K60" s="1" t="s">
        <v>2713</v>
      </c>
      <c r="L60" s="1" t="s">
        <v>2713</v>
      </c>
      <c r="M60" s="1" t="s">
        <v>2713</v>
      </c>
      <c r="N60" s="1" t="s">
        <v>2713</v>
      </c>
      <c r="O60" s="1" t="s">
        <v>2713</v>
      </c>
      <c r="P60" s="1" t="s">
        <v>2713</v>
      </c>
      <c r="Q60" s="1" t="s">
        <v>2713</v>
      </c>
      <c r="R60" s="1" t="s">
        <v>2713</v>
      </c>
    </row>
    <row r="61" spans="2:18" x14ac:dyDescent="0.25">
      <c r="B61" s="18" t="s">
        <v>1620</v>
      </c>
      <c r="C61" s="25" t="s">
        <v>3846</v>
      </c>
      <c r="D61" s="20" t="s">
        <v>3</v>
      </c>
      <c r="E61" s="22" t="s">
        <v>3</v>
      </c>
      <c r="F61" s="48" t="s">
        <v>3</v>
      </c>
      <c r="G61" s="47" t="s">
        <v>3</v>
      </c>
      <c r="H61" s="49" t="s">
        <v>3</v>
      </c>
      <c r="I61" s="50" t="s">
        <v>3</v>
      </c>
      <c r="J61" s="4"/>
      <c r="K61" s="4"/>
      <c r="L61" s="4"/>
      <c r="M61" s="28"/>
      <c r="N61" s="46"/>
      <c r="O61" s="5" t="s">
        <v>3</v>
      </c>
      <c r="P61" s="5" t="s">
        <v>3</v>
      </c>
      <c r="Q61" s="5" t="s">
        <v>3</v>
      </c>
      <c r="R61" s="16" t="s">
        <v>3</v>
      </c>
    </row>
    <row r="62" spans="2:18" x14ac:dyDescent="0.25">
      <c r="B62" s="7" t="s">
        <v>2713</v>
      </c>
      <c r="C62" s="1" t="s">
        <v>2713</v>
      </c>
      <c r="D62" s="8" t="s">
        <v>2713</v>
      </c>
      <c r="E62" s="1" t="s">
        <v>2713</v>
      </c>
      <c r="F62" s="1" t="s">
        <v>2713</v>
      </c>
      <c r="G62" s="1" t="s">
        <v>2713</v>
      </c>
      <c r="H62" s="1" t="s">
        <v>2713</v>
      </c>
      <c r="I62" s="1" t="s">
        <v>2713</v>
      </c>
      <c r="J62" s="1" t="s">
        <v>2713</v>
      </c>
      <c r="K62" s="1" t="s">
        <v>2713</v>
      </c>
      <c r="L62" s="1" t="s">
        <v>2713</v>
      </c>
      <c r="M62" s="1" t="s">
        <v>2713</v>
      </c>
      <c r="N62" s="1" t="s">
        <v>2713</v>
      </c>
      <c r="O62" s="1" t="s">
        <v>2713</v>
      </c>
      <c r="P62" s="1" t="s">
        <v>2713</v>
      </c>
      <c r="Q62" s="1" t="s">
        <v>2713</v>
      </c>
      <c r="R62" s="1" t="s">
        <v>2713</v>
      </c>
    </row>
    <row r="63" spans="2:18" ht="27.6" x14ac:dyDescent="0.25">
      <c r="B63" s="21" t="s">
        <v>3064</v>
      </c>
      <c r="C63" s="19" t="s">
        <v>4435</v>
      </c>
      <c r="D63" s="17"/>
      <c r="E63" s="2"/>
      <c r="F63" s="2"/>
      <c r="G63" s="2"/>
      <c r="H63" s="2"/>
      <c r="I63" s="2"/>
      <c r="J63" s="3">
        <f>SUM('GMIC_2020-Annu_SCDPT6SN1'!SCDPT6SN1_15BEGIN_8:'GMIC_2020-Annu_SCDPT6SN1'!SCDPT6SN1_15ENDIN_8)</f>
        <v>0</v>
      </c>
      <c r="K63" s="3">
        <f>SUM('GMIC_2020-Annu_SCDPT6SN1'!SCDPT6SN1_15BEGIN_9:'GMIC_2020-Annu_SCDPT6SN1'!SCDPT6SN1_15ENDIN_9)</f>
        <v>0</v>
      </c>
      <c r="L63" s="3">
        <f>SUM('GMIC_2020-Annu_SCDPT6SN1'!SCDPT6SN1_15BEGIN_10:'GMIC_2020-Annu_SCDPT6SN1'!SCDPT6SN1_15ENDIN_10)</f>
        <v>0</v>
      </c>
      <c r="M63" s="2"/>
      <c r="N63" s="2"/>
      <c r="O63" s="2"/>
      <c r="P63" s="2"/>
      <c r="Q63" s="2"/>
      <c r="R63" s="2"/>
    </row>
    <row r="64" spans="2:18" x14ac:dyDescent="0.25">
      <c r="B64" s="7" t="s">
        <v>2713</v>
      </c>
      <c r="C64" s="1" t="s">
        <v>2713</v>
      </c>
      <c r="D64" s="8" t="s">
        <v>2713</v>
      </c>
      <c r="E64" s="1" t="s">
        <v>2713</v>
      </c>
      <c r="F64" s="1" t="s">
        <v>2713</v>
      </c>
      <c r="G64" s="1" t="s">
        <v>2713</v>
      </c>
      <c r="H64" s="1" t="s">
        <v>2713</v>
      </c>
      <c r="I64" s="1" t="s">
        <v>2713</v>
      </c>
      <c r="J64" s="1" t="s">
        <v>2713</v>
      </c>
      <c r="K64" s="1" t="s">
        <v>2713</v>
      </c>
      <c r="L64" s="1" t="s">
        <v>2713</v>
      </c>
      <c r="M64" s="1" t="s">
        <v>2713</v>
      </c>
      <c r="N64" s="1" t="s">
        <v>2713</v>
      </c>
      <c r="O64" s="1" t="s">
        <v>2713</v>
      </c>
      <c r="P64" s="1" t="s">
        <v>2713</v>
      </c>
      <c r="Q64" s="1" t="s">
        <v>2713</v>
      </c>
      <c r="R64" s="1" t="s">
        <v>2713</v>
      </c>
    </row>
    <row r="65" spans="2:18" x14ac:dyDescent="0.25">
      <c r="B65" s="18" t="s">
        <v>883</v>
      </c>
      <c r="C65" s="25" t="s">
        <v>3846</v>
      </c>
      <c r="D65" s="20" t="s">
        <v>3</v>
      </c>
      <c r="E65" s="22" t="s">
        <v>3</v>
      </c>
      <c r="F65" s="48" t="s">
        <v>3</v>
      </c>
      <c r="G65" s="47" t="s">
        <v>3</v>
      </c>
      <c r="H65" s="49" t="s">
        <v>3</v>
      </c>
      <c r="I65" s="50" t="s">
        <v>3</v>
      </c>
      <c r="J65" s="4"/>
      <c r="K65" s="4"/>
      <c r="L65" s="4"/>
      <c r="M65" s="28"/>
      <c r="N65" s="46"/>
      <c r="O65" s="5" t="s">
        <v>3</v>
      </c>
      <c r="P65" s="5" t="s">
        <v>3</v>
      </c>
      <c r="Q65" s="5" t="s">
        <v>3</v>
      </c>
      <c r="R65" s="16" t="s">
        <v>3</v>
      </c>
    </row>
    <row r="66" spans="2:18" x14ac:dyDescent="0.25">
      <c r="B66" s="7" t="s">
        <v>2713</v>
      </c>
      <c r="C66" s="1" t="s">
        <v>2713</v>
      </c>
      <c r="D66" s="8" t="s">
        <v>2713</v>
      </c>
      <c r="E66" s="1" t="s">
        <v>2713</v>
      </c>
      <c r="F66" s="1" t="s">
        <v>2713</v>
      </c>
      <c r="G66" s="1" t="s">
        <v>2713</v>
      </c>
      <c r="H66" s="1" t="s">
        <v>2713</v>
      </c>
      <c r="I66" s="1" t="s">
        <v>2713</v>
      </c>
      <c r="J66" s="1" t="s">
        <v>2713</v>
      </c>
      <c r="K66" s="1" t="s">
        <v>2713</v>
      </c>
      <c r="L66" s="1" t="s">
        <v>2713</v>
      </c>
      <c r="M66" s="1" t="s">
        <v>2713</v>
      </c>
      <c r="N66" s="1" t="s">
        <v>2713</v>
      </c>
      <c r="O66" s="1" t="s">
        <v>2713</v>
      </c>
      <c r="P66" s="1" t="s">
        <v>2713</v>
      </c>
      <c r="Q66" s="1" t="s">
        <v>2713</v>
      </c>
      <c r="R66" s="1" t="s">
        <v>2713</v>
      </c>
    </row>
    <row r="67" spans="2:18" ht="27.6" x14ac:dyDescent="0.25">
      <c r="B67" s="21" t="s">
        <v>2212</v>
      </c>
      <c r="C67" s="19" t="s">
        <v>1977</v>
      </c>
      <c r="D67" s="17"/>
      <c r="E67" s="2"/>
      <c r="F67" s="2"/>
      <c r="G67" s="2"/>
      <c r="H67" s="2"/>
      <c r="I67" s="2"/>
      <c r="J67" s="3">
        <f>SUM('GMIC_2020-Annu_SCDPT6SN1'!SCDPT6SN1_16BEGIN_8:'GMIC_2020-Annu_SCDPT6SN1'!SCDPT6SN1_16ENDIN_8)</f>
        <v>0</v>
      </c>
      <c r="K67" s="3">
        <f>SUM('GMIC_2020-Annu_SCDPT6SN1'!SCDPT6SN1_16BEGIN_9:'GMIC_2020-Annu_SCDPT6SN1'!SCDPT6SN1_16ENDIN_9)</f>
        <v>0</v>
      </c>
      <c r="L67" s="3">
        <f>SUM('GMIC_2020-Annu_SCDPT6SN1'!SCDPT6SN1_16BEGIN_10:'GMIC_2020-Annu_SCDPT6SN1'!SCDPT6SN1_16ENDIN_10)</f>
        <v>0</v>
      </c>
      <c r="M67" s="2"/>
      <c r="N67" s="2"/>
      <c r="O67" s="2"/>
      <c r="P67" s="2"/>
      <c r="Q67" s="2"/>
      <c r="R67" s="2"/>
    </row>
    <row r="68" spans="2:18" x14ac:dyDescent="0.25">
      <c r="B68" s="7" t="s">
        <v>2713</v>
      </c>
      <c r="C68" s="1" t="s">
        <v>2713</v>
      </c>
      <c r="D68" s="8" t="s">
        <v>2713</v>
      </c>
      <c r="E68" s="1" t="s">
        <v>2713</v>
      </c>
      <c r="F68" s="1" t="s">
        <v>2713</v>
      </c>
      <c r="G68" s="1" t="s">
        <v>2713</v>
      </c>
      <c r="H68" s="1" t="s">
        <v>2713</v>
      </c>
      <c r="I68" s="1" t="s">
        <v>2713</v>
      </c>
      <c r="J68" s="1" t="s">
        <v>2713</v>
      </c>
      <c r="K68" s="1" t="s">
        <v>2713</v>
      </c>
      <c r="L68" s="1" t="s">
        <v>2713</v>
      </c>
      <c r="M68" s="1" t="s">
        <v>2713</v>
      </c>
      <c r="N68" s="1" t="s">
        <v>2713</v>
      </c>
      <c r="O68" s="1" t="s">
        <v>2713</v>
      </c>
      <c r="P68" s="1" t="s">
        <v>2713</v>
      </c>
      <c r="Q68" s="1" t="s">
        <v>2713</v>
      </c>
      <c r="R68" s="1" t="s">
        <v>2713</v>
      </c>
    </row>
    <row r="69" spans="2:18" x14ac:dyDescent="0.25">
      <c r="B69" s="18" t="s">
        <v>1294</v>
      </c>
      <c r="C69" s="44" t="s">
        <v>2175</v>
      </c>
      <c r="D69" s="20" t="s">
        <v>3752</v>
      </c>
      <c r="E69" s="22" t="s">
        <v>2218</v>
      </c>
      <c r="F69" s="48" t="s">
        <v>3</v>
      </c>
      <c r="G69" s="47" t="s">
        <v>3</v>
      </c>
      <c r="H69" s="49" t="s">
        <v>2711</v>
      </c>
      <c r="I69" s="50" t="s">
        <v>3531</v>
      </c>
      <c r="J69" s="4">
        <v>0</v>
      </c>
      <c r="K69" s="4">
        <v>3000</v>
      </c>
      <c r="L69" s="4">
        <v>3000</v>
      </c>
      <c r="M69" s="28">
        <v>80</v>
      </c>
      <c r="N69" s="46">
        <v>0</v>
      </c>
      <c r="O69" s="5" t="s">
        <v>3</v>
      </c>
      <c r="P69" s="5" t="s">
        <v>3</v>
      </c>
      <c r="Q69" s="5" t="s">
        <v>3</v>
      </c>
      <c r="R69" s="16" t="s">
        <v>3</v>
      </c>
    </row>
    <row r="70" spans="2:18" x14ac:dyDescent="0.25">
      <c r="B70" s="7" t="s">
        <v>2713</v>
      </c>
      <c r="C70" s="1" t="s">
        <v>2713</v>
      </c>
      <c r="D70" s="8" t="s">
        <v>2713</v>
      </c>
      <c r="E70" s="1" t="s">
        <v>2713</v>
      </c>
      <c r="F70" s="1" t="s">
        <v>2713</v>
      </c>
      <c r="G70" s="1" t="s">
        <v>2713</v>
      </c>
      <c r="H70" s="1" t="s">
        <v>2713</v>
      </c>
      <c r="I70" s="1" t="s">
        <v>2713</v>
      </c>
      <c r="J70" s="1" t="s">
        <v>2713</v>
      </c>
      <c r="K70" s="1" t="s">
        <v>2713</v>
      </c>
      <c r="L70" s="1" t="s">
        <v>2713</v>
      </c>
      <c r="M70" s="1" t="s">
        <v>2713</v>
      </c>
      <c r="N70" s="1" t="s">
        <v>2713</v>
      </c>
      <c r="O70" s="1" t="s">
        <v>2713</v>
      </c>
      <c r="P70" s="1" t="s">
        <v>2713</v>
      </c>
      <c r="Q70" s="1" t="s">
        <v>2713</v>
      </c>
      <c r="R70" s="1" t="s">
        <v>2713</v>
      </c>
    </row>
    <row r="71" spans="2:18" ht="27.6" x14ac:dyDescent="0.25">
      <c r="B71" s="21" t="s">
        <v>1354</v>
      </c>
      <c r="C71" s="19" t="s">
        <v>244</v>
      </c>
      <c r="D71" s="17"/>
      <c r="E71" s="2"/>
      <c r="F71" s="2"/>
      <c r="G71" s="2"/>
      <c r="H71" s="2"/>
      <c r="I71" s="2"/>
      <c r="J71" s="3">
        <f>SUM('GMIC_2020-Annu_SCDPT6SN1'!SCDPT6SN1_17BEGIN_8:'GMIC_2020-Annu_SCDPT6SN1'!SCDPT6SN1_17ENDIN_8)</f>
        <v>0</v>
      </c>
      <c r="K71" s="3">
        <f>SUM('GMIC_2020-Annu_SCDPT6SN1'!SCDPT6SN1_17BEGIN_9:'GMIC_2020-Annu_SCDPT6SN1'!SCDPT6SN1_17ENDIN_9)</f>
        <v>3000</v>
      </c>
      <c r="L71" s="3">
        <f>SUM('GMIC_2020-Annu_SCDPT6SN1'!SCDPT6SN1_17BEGIN_10:'GMIC_2020-Annu_SCDPT6SN1'!SCDPT6SN1_17ENDIN_10)</f>
        <v>3000</v>
      </c>
      <c r="M71" s="2"/>
      <c r="N71" s="2"/>
      <c r="O71" s="2"/>
      <c r="P71" s="2"/>
      <c r="Q71" s="2"/>
      <c r="R71" s="2"/>
    </row>
    <row r="72" spans="2:18" x14ac:dyDescent="0.25">
      <c r="B72" s="21" t="s">
        <v>557</v>
      </c>
      <c r="C72" s="19" t="s">
        <v>1292</v>
      </c>
      <c r="D72" s="17"/>
      <c r="E72" s="2"/>
      <c r="F72" s="2"/>
      <c r="G72" s="2"/>
      <c r="H72" s="2"/>
      <c r="I72" s="2"/>
      <c r="J72" s="3">
        <f>'GMIC_2020-Annu_SCDPT6SN1'!SCDPT6SN1_1099999_8+'GMIC_2020-Annu_SCDPT6SN1'!SCDPT6SN1_1199999_8+'GMIC_2020-Annu_SCDPT6SN1'!SCDPT6SN1_1299999_8+'GMIC_2020-Annu_SCDPT6SN1'!SCDPT6SN1_1399999_8+'GMIC_2020-Annu_SCDPT6SN1'!SCDPT6SN1_1499999_8+'GMIC_2020-Annu_SCDPT6SN1'!SCDPT6SN1_1599999_8+'GMIC_2020-Annu_SCDPT6SN1'!SCDPT6SN1_1699999_8+'GMIC_2020-Annu_SCDPT6SN1'!SCDPT6SN1_1799999_8</f>
        <v>0</v>
      </c>
      <c r="K72" s="3">
        <f>'GMIC_2020-Annu_SCDPT6SN1'!SCDPT6SN1_1099999_9+'GMIC_2020-Annu_SCDPT6SN1'!SCDPT6SN1_1199999_9+'GMIC_2020-Annu_SCDPT6SN1'!SCDPT6SN1_1299999_9+'GMIC_2020-Annu_SCDPT6SN1'!SCDPT6SN1_1399999_9+'GMIC_2020-Annu_SCDPT6SN1'!SCDPT6SN1_1499999_9+'GMIC_2020-Annu_SCDPT6SN1'!SCDPT6SN1_1599999_9+'GMIC_2020-Annu_SCDPT6SN1'!SCDPT6SN1_1699999_9+'GMIC_2020-Annu_SCDPT6SN1'!SCDPT6SN1_1799999_9</f>
        <v>3000</v>
      </c>
      <c r="L72" s="3">
        <f>'GMIC_2020-Annu_SCDPT6SN1'!SCDPT6SN1_1099999_10+'GMIC_2020-Annu_SCDPT6SN1'!SCDPT6SN1_1199999_10+'GMIC_2020-Annu_SCDPT6SN1'!SCDPT6SN1_1299999_10+'GMIC_2020-Annu_SCDPT6SN1'!SCDPT6SN1_1399999_10+'GMIC_2020-Annu_SCDPT6SN1'!SCDPT6SN1_1499999_10+'GMIC_2020-Annu_SCDPT6SN1'!SCDPT6SN1_1599999_10+'GMIC_2020-Annu_SCDPT6SN1'!SCDPT6SN1_1699999_10+'GMIC_2020-Annu_SCDPT6SN1'!SCDPT6SN1_1799999_10</f>
        <v>3000</v>
      </c>
      <c r="M72" s="2"/>
      <c r="N72" s="2"/>
      <c r="O72" s="2"/>
      <c r="P72" s="2"/>
      <c r="Q72" s="2"/>
      <c r="R72" s="2"/>
    </row>
    <row r="73" spans="2:18" ht="27.6" x14ac:dyDescent="0.25">
      <c r="B73" s="53" t="s">
        <v>4207</v>
      </c>
      <c r="C73" s="55" t="s">
        <v>3754</v>
      </c>
      <c r="D73" s="69"/>
      <c r="E73" s="26"/>
      <c r="F73" s="26"/>
      <c r="G73" s="26"/>
      <c r="H73" s="26"/>
      <c r="I73" s="26"/>
      <c r="J73" s="32">
        <f>'GMIC_2020-Annu_SCDPT6SN1'!SCDPT6SN1_0999999_8+'GMIC_2020-Annu_SCDPT6SN1'!SCDPT6SN1_1899999_8</f>
        <v>0</v>
      </c>
      <c r="K73" s="32">
        <f>'GMIC_2020-Annu_SCDPT6SN1'!SCDPT6SN1_0999999_9+'GMIC_2020-Annu_SCDPT6SN1'!SCDPT6SN1_1899999_9</f>
        <v>3000</v>
      </c>
      <c r="L73" s="32">
        <f>'GMIC_2020-Annu_SCDPT6SN1'!SCDPT6SN1_0999999_10+'GMIC_2020-Annu_SCDPT6SN1'!SCDPT6SN1_1899999_10</f>
        <v>3000</v>
      </c>
      <c r="M73" s="26"/>
      <c r="N73" s="26"/>
      <c r="O73" s="26"/>
      <c r="P73" s="26"/>
      <c r="Q73" s="26"/>
      <c r="R73" s="26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&amp;CSCDPT6SN1SCDPT6SN1</oddHeader>
    <oddFooter>&amp;LWing Application : &amp;R SaveAs(2/25/2021-10:18 AM)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IxMzAyMDY0MzwvVXNlck5hbWU+PERhdGVUaW1lPjIvMjUvMjAyMSAzOjIyOjEzIFBNPC9EYXRlVGltZT48TGFiZWxTdHJpbmc+VU5SRVNUUklDVEVE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A8648105-4711-41E3-886B-2C63D9AA9F8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C5F641F-82F1-4162-8BBD-0C60649A16F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8545</vt:i4>
      </vt:variant>
    </vt:vector>
  </HeadingPairs>
  <TitlesOfParts>
    <vt:vector size="8551" baseType="lpstr">
      <vt:lpstr>GMIC_2020-Annu_SCDPT1</vt:lpstr>
      <vt:lpstr>GMIC_2020-Annu_SCDPT2SN2</vt:lpstr>
      <vt:lpstr>GMIC_2020-Annu_SCDPT3</vt:lpstr>
      <vt:lpstr>GMIC_2020-Annu_SCDPT4</vt:lpstr>
      <vt:lpstr>GMIC_2020-Annu_SCDPT5</vt:lpstr>
      <vt:lpstr>GMIC_2020-Annu_SCDPT6SN1</vt:lpstr>
      <vt:lpstr>'GMIC_2020-Annu_SCDPT1'!SCDPT1_0100000_Range</vt:lpstr>
      <vt:lpstr>'GMIC_2020-Annu_SCDPT1'!SCDPT1_0100001_1</vt:lpstr>
      <vt:lpstr>'GMIC_2020-Annu_SCDPT1'!SCDPT1_0100001_10</vt:lpstr>
      <vt:lpstr>'GMIC_2020-Annu_SCDPT1'!SCDPT1_0100001_11</vt:lpstr>
      <vt:lpstr>'GMIC_2020-Annu_SCDPT1'!SCDPT1_0100001_12</vt:lpstr>
      <vt:lpstr>'GMIC_2020-Annu_SCDPT1'!SCDPT1_0100001_13</vt:lpstr>
      <vt:lpstr>'GMIC_2020-Annu_SCDPT1'!SCDPT1_0100001_14</vt:lpstr>
      <vt:lpstr>'GMIC_2020-Annu_SCDPT1'!SCDPT1_0100001_15</vt:lpstr>
      <vt:lpstr>'GMIC_2020-Annu_SCDPT1'!SCDPT1_0100001_16</vt:lpstr>
      <vt:lpstr>'GMIC_2020-Annu_SCDPT1'!SCDPT1_0100001_17</vt:lpstr>
      <vt:lpstr>'GMIC_2020-Annu_SCDPT1'!SCDPT1_0100001_18</vt:lpstr>
      <vt:lpstr>'GMIC_2020-Annu_SCDPT1'!SCDPT1_0100001_19</vt:lpstr>
      <vt:lpstr>'GMIC_2020-Annu_SCDPT1'!SCDPT1_0100001_2</vt:lpstr>
      <vt:lpstr>'GMIC_2020-Annu_SCDPT1'!SCDPT1_0100001_20</vt:lpstr>
      <vt:lpstr>'GMIC_2020-Annu_SCDPT1'!SCDPT1_0100001_21</vt:lpstr>
      <vt:lpstr>'GMIC_2020-Annu_SCDPT1'!SCDPT1_0100001_22</vt:lpstr>
      <vt:lpstr>'GMIC_2020-Annu_SCDPT1'!SCDPT1_0100001_24</vt:lpstr>
      <vt:lpstr>'GMIC_2020-Annu_SCDPT1'!SCDPT1_0100001_25</vt:lpstr>
      <vt:lpstr>'GMIC_2020-Annu_SCDPT1'!SCDPT1_0100001_27</vt:lpstr>
      <vt:lpstr>'GMIC_2020-Annu_SCDPT1'!SCDPT1_0100001_28</vt:lpstr>
      <vt:lpstr>'GMIC_2020-Annu_SCDPT1'!SCDPT1_0100001_29</vt:lpstr>
      <vt:lpstr>'GMIC_2020-Annu_SCDPT1'!SCDPT1_0100001_3</vt:lpstr>
      <vt:lpstr>'GMIC_2020-Annu_SCDPT1'!SCDPT1_0100001_30</vt:lpstr>
      <vt:lpstr>'GMIC_2020-Annu_SCDPT1'!SCDPT1_0100001_31</vt:lpstr>
      <vt:lpstr>'GMIC_2020-Annu_SCDPT1'!SCDPT1_0100001_32</vt:lpstr>
      <vt:lpstr>'GMIC_2020-Annu_SCDPT1'!SCDPT1_0100001_33</vt:lpstr>
      <vt:lpstr>'GMIC_2020-Annu_SCDPT1'!SCDPT1_0100001_34</vt:lpstr>
      <vt:lpstr>'GMIC_2020-Annu_SCDPT1'!SCDPT1_0100001_35</vt:lpstr>
      <vt:lpstr>'GMIC_2020-Annu_SCDPT1'!SCDPT1_0100001_4</vt:lpstr>
      <vt:lpstr>'GMIC_2020-Annu_SCDPT1'!SCDPT1_0100001_5</vt:lpstr>
      <vt:lpstr>'GMIC_2020-Annu_SCDPT1'!SCDPT1_0100001_6.01</vt:lpstr>
      <vt:lpstr>'GMIC_2020-Annu_SCDPT1'!SCDPT1_0100001_6.02</vt:lpstr>
      <vt:lpstr>'GMIC_2020-Annu_SCDPT1'!SCDPT1_0100001_6.03</vt:lpstr>
      <vt:lpstr>'GMIC_2020-Annu_SCDPT1'!SCDPT1_0100001_7</vt:lpstr>
      <vt:lpstr>'GMIC_2020-Annu_SCDPT1'!SCDPT1_0100001_8</vt:lpstr>
      <vt:lpstr>'GMIC_2020-Annu_SCDPT1'!SCDPT1_0100001_9</vt:lpstr>
      <vt:lpstr>'GMIC_2020-Annu_SCDPT1'!SCDPT1_0199999_10</vt:lpstr>
      <vt:lpstr>'GMIC_2020-Annu_SCDPT1'!SCDPT1_0199999_11</vt:lpstr>
      <vt:lpstr>'GMIC_2020-Annu_SCDPT1'!SCDPT1_0199999_12</vt:lpstr>
      <vt:lpstr>'GMIC_2020-Annu_SCDPT1'!SCDPT1_0199999_13</vt:lpstr>
      <vt:lpstr>'GMIC_2020-Annu_SCDPT1'!SCDPT1_0199999_14</vt:lpstr>
      <vt:lpstr>'GMIC_2020-Annu_SCDPT1'!SCDPT1_0199999_15</vt:lpstr>
      <vt:lpstr>'GMIC_2020-Annu_SCDPT1'!SCDPT1_0199999_19</vt:lpstr>
      <vt:lpstr>'GMIC_2020-Annu_SCDPT1'!SCDPT1_0199999_20</vt:lpstr>
      <vt:lpstr>'GMIC_2020-Annu_SCDPT1'!SCDPT1_0199999_7</vt:lpstr>
      <vt:lpstr>'GMIC_2020-Annu_SCDPT1'!SCDPT1_0199999_9</vt:lpstr>
      <vt:lpstr>'GMIC_2020-Annu_SCDPT1'!SCDPT1_01BEGIN_1</vt:lpstr>
      <vt:lpstr>'GMIC_2020-Annu_SCDPT1'!SCDPT1_01BEGIN_10</vt:lpstr>
      <vt:lpstr>'GMIC_2020-Annu_SCDPT1'!SCDPT1_01BEGIN_11</vt:lpstr>
      <vt:lpstr>'GMIC_2020-Annu_SCDPT1'!SCDPT1_01BEGIN_12</vt:lpstr>
      <vt:lpstr>'GMIC_2020-Annu_SCDPT1'!SCDPT1_01BEGIN_13</vt:lpstr>
      <vt:lpstr>'GMIC_2020-Annu_SCDPT1'!SCDPT1_01BEGIN_14</vt:lpstr>
      <vt:lpstr>'GMIC_2020-Annu_SCDPT1'!SCDPT1_01BEGIN_15</vt:lpstr>
      <vt:lpstr>'GMIC_2020-Annu_SCDPT1'!SCDPT1_01BEGIN_16</vt:lpstr>
      <vt:lpstr>'GMIC_2020-Annu_SCDPT1'!SCDPT1_01BEGIN_17</vt:lpstr>
      <vt:lpstr>'GMIC_2020-Annu_SCDPT1'!SCDPT1_01BEGIN_18</vt:lpstr>
      <vt:lpstr>'GMIC_2020-Annu_SCDPT1'!SCDPT1_01BEGIN_19</vt:lpstr>
      <vt:lpstr>'GMIC_2020-Annu_SCDPT1'!SCDPT1_01BEGIN_2</vt:lpstr>
      <vt:lpstr>'GMIC_2020-Annu_SCDPT1'!SCDPT1_01BEGIN_20</vt:lpstr>
      <vt:lpstr>'GMIC_2020-Annu_SCDPT1'!SCDPT1_01BEGIN_21</vt:lpstr>
      <vt:lpstr>'GMIC_2020-Annu_SCDPT1'!SCDPT1_01BEGIN_22</vt:lpstr>
      <vt:lpstr>'GMIC_2020-Annu_SCDPT1'!SCDPT1_01BEGIN_23</vt:lpstr>
      <vt:lpstr>'GMIC_2020-Annu_SCDPT1'!SCDPT1_01BEGIN_24</vt:lpstr>
      <vt:lpstr>'GMIC_2020-Annu_SCDPT1'!SCDPT1_01BEGIN_25</vt:lpstr>
      <vt:lpstr>'GMIC_2020-Annu_SCDPT1'!SCDPT1_01BEGIN_26</vt:lpstr>
      <vt:lpstr>'GMIC_2020-Annu_SCDPT1'!SCDPT1_01BEGIN_27</vt:lpstr>
      <vt:lpstr>'GMIC_2020-Annu_SCDPT1'!SCDPT1_01BEGIN_28</vt:lpstr>
      <vt:lpstr>'GMIC_2020-Annu_SCDPT1'!SCDPT1_01BEGIN_29</vt:lpstr>
      <vt:lpstr>'GMIC_2020-Annu_SCDPT1'!SCDPT1_01BEGIN_3</vt:lpstr>
      <vt:lpstr>'GMIC_2020-Annu_SCDPT1'!SCDPT1_01BEGIN_30</vt:lpstr>
      <vt:lpstr>'GMIC_2020-Annu_SCDPT1'!SCDPT1_01BEGIN_31</vt:lpstr>
      <vt:lpstr>'GMIC_2020-Annu_SCDPT1'!SCDPT1_01BEGIN_32</vt:lpstr>
      <vt:lpstr>'GMIC_2020-Annu_SCDPT1'!SCDPT1_01BEGIN_33</vt:lpstr>
      <vt:lpstr>'GMIC_2020-Annu_SCDPT1'!SCDPT1_01BEGIN_34</vt:lpstr>
      <vt:lpstr>'GMIC_2020-Annu_SCDPT1'!SCDPT1_01BEGIN_35</vt:lpstr>
      <vt:lpstr>'GMIC_2020-Annu_SCDPT1'!SCDPT1_01BEGIN_4</vt:lpstr>
      <vt:lpstr>'GMIC_2020-Annu_SCDPT1'!SCDPT1_01BEGIN_5</vt:lpstr>
      <vt:lpstr>'GMIC_2020-Annu_SCDPT1'!SCDPT1_01BEGIN_6.01</vt:lpstr>
      <vt:lpstr>'GMIC_2020-Annu_SCDPT1'!SCDPT1_01BEGIN_6.02</vt:lpstr>
      <vt:lpstr>'GMIC_2020-Annu_SCDPT1'!SCDPT1_01BEGIN_6.03</vt:lpstr>
      <vt:lpstr>'GMIC_2020-Annu_SCDPT1'!SCDPT1_01BEGIN_7</vt:lpstr>
      <vt:lpstr>'GMIC_2020-Annu_SCDPT1'!SCDPT1_01BEGIN_8</vt:lpstr>
      <vt:lpstr>'GMIC_2020-Annu_SCDPT1'!SCDPT1_01BEGIN_9</vt:lpstr>
      <vt:lpstr>'GMIC_2020-Annu_SCDPT1'!SCDPT1_01ENDIN_10</vt:lpstr>
      <vt:lpstr>'GMIC_2020-Annu_SCDPT1'!SCDPT1_01ENDIN_11</vt:lpstr>
      <vt:lpstr>'GMIC_2020-Annu_SCDPT1'!SCDPT1_01ENDIN_12</vt:lpstr>
      <vt:lpstr>'GMIC_2020-Annu_SCDPT1'!SCDPT1_01ENDIN_13</vt:lpstr>
      <vt:lpstr>'GMIC_2020-Annu_SCDPT1'!SCDPT1_01ENDIN_14</vt:lpstr>
      <vt:lpstr>'GMIC_2020-Annu_SCDPT1'!SCDPT1_01ENDIN_15</vt:lpstr>
      <vt:lpstr>'GMIC_2020-Annu_SCDPT1'!SCDPT1_01ENDIN_16</vt:lpstr>
      <vt:lpstr>'GMIC_2020-Annu_SCDPT1'!SCDPT1_01ENDIN_17</vt:lpstr>
      <vt:lpstr>'GMIC_2020-Annu_SCDPT1'!SCDPT1_01ENDIN_18</vt:lpstr>
      <vt:lpstr>'GMIC_2020-Annu_SCDPT1'!SCDPT1_01ENDIN_19</vt:lpstr>
      <vt:lpstr>'GMIC_2020-Annu_SCDPT1'!SCDPT1_01ENDIN_2</vt:lpstr>
      <vt:lpstr>'GMIC_2020-Annu_SCDPT1'!SCDPT1_01ENDIN_20</vt:lpstr>
      <vt:lpstr>'GMIC_2020-Annu_SCDPT1'!SCDPT1_01ENDIN_21</vt:lpstr>
      <vt:lpstr>'GMIC_2020-Annu_SCDPT1'!SCDPT1_01ENDIN_22</vt:lpstr>
      <vt:lpstr>'GMIC_2020-Annu_SCDPT1'!SCDPT1_01ENDIN_23</vt:lpstr>
      <vt:lpstr>'GMIC_2020-Annu_SCDPT1'!SCDPT1_01ENDIN_24</vt:lpstr>
      <vt:lpstr>'GMIC_2020-Annu_SCDPT1'!SCDPT1_01ENDIN_25</vt:lpstr>
      <vt:lpstr>'GMIC_2020-Annu_SCDPT1'!SCDPT1_01ENDIN_26</vt:lpstr>
      <vt:lpstr>'GMIC_2020-Annu_SCDPT1'!SCDPT1_01ENDIN_27</vt:lpstr>
      <vt:lpstr>'GMIC_2020-Annu_SCDPT1'!SCDPT1_01ENDIN_28</vt:lpstr>
      <vt:lpstr>'GMIC_2020-Annu_SCDPT1'!SCDPT1_01ENDIN_29</vt:lpstr>
      <vt:lpstr>'GMIC_2020-Annu_SCDPT1'!SCDPT1_01ENDIN_3</vt:lpstr>
      <vt:lpstr>'GMIC_2020-Annu_SCDPT1'!SCDPT1_01ENDIN_30</vt:lpstr>
      <vt:lpstr>'GMIC_2020-Annu_SCDPT1'!SCDPT1_01ENDIN_31</vt:lpstr>
      <vt:lpstr>'GMIC_2020-Annu_SCDPT1'!SCDPT1_01ENDIN_32</vt:lpstr>
      <vt:lpstr>'GMIC_2020-Annu_SCDPT1'!SCDPT1_01ENDIN_33</vt:lpstr>
      <vt:lpstr>'GMIC_2020-Annu_SCDPT1'!SCDPT1_01ENDIN_34</vt:lpstr>
      <vt:lpstr>'GMIC_2020-Annu_SCDPT1'!SCDPT1_01ENDIN_35</vt:lpstr>
      <vt:lpstr>'GMIC_2020-Annu_SCDPT1'!SCDPT1_01ENDIN_4</vt:lpstr>
      <vt:lpstr>'GMIC_2020-Annu_SCDPT1'!SCDPT1_01ENDIN_5</vt:lpstr>
      <vt:lpstr>'GMIC_2020-Annu_SCDPT1'!SCDPT1_01ENDIN_6.01</vt:lpstr>
      <vt:lpstr>'GMIC_2020-Annu_SCDPT1'!SCDPT1_01ENDIN_6.02</vt:lpstr>
      <vt:lpstr>'GMIC_2020-Annu_SCDPT1'!SCDPT1_01ENDIN_6.03</vt:lpstr>
      <vt:lpstr>'GMIC_2020-Annu_SCDPT1'!SCDPT1_01ENDIN_7</vt:lpstr>
      <vt:lpstr>'GMIC_2020-Annu_SCDPT1'!SCDPT1_01ENDIN_8</vt:lpstr>
      <vt:lpstr>'GMIC_2020-Annu_SCDPT1'!SCDPT1_01ENDIN_9</vt:lpstr>
      <vt:lpstr>'GMIC_2020-Annu_SCDPT1'!SCDPT1_0200000_Range</vt:lpstr>
      <vt:lpstr>'GMIC_2020-Annu_SCDPT1'!SCDPT1_0299999_10</vt:lpstr>
      <vt:lpstr>'GMIC_2020-Annu_SCDPT1'!SCDPT1_0299999_11</vt:lpstr>
      <vt:lpstr>'GMIC_2020-Annu_SCDPT1'!SCDPT1_0299999_12</vt:lpstr>
      <vt:lpstr>'GMIC_2020-Annu_SCDPT1'!SCDPT1_0299999_13</vt:lpstr>
      <vt:lpstr>'GMIC_2020-Annu_SCDPT1'!SCDPT1_0299999_14</vt:lpstr>
      <vt:lpstr>'GMIC_2020-Annu_SCDPT1'!SCDPT1_0299999_15</vt:lpstr>
      <vt:lpstr>'GMIC_2020-Annu_SCDPT1'!SCDPT1_0299999_19</vt:lpstr>
      <vt:lpstr>'GMIC_2020-Annu_SCDPT1'!SCDPT1_0299999_20</vt:lpstr>
      <vt:lpstr>'GMIC_2020-Annu_SCDPT1'!SCDPT1_0299999_7</vt:lpstr>
      <vt:lpstr>'GMIC_2020-Annu_SCDPT1'!SCDPT1_0299999_9</vt:lpstr>
      <vt:lpstr>'GMIC_2020-Annu_SCDPT1'!SCDPT1_02BEGIN_1</vt:lpstr>
      <vt:lpstr>'GMIC_2020-Annu_SCDPT1'!SCDPT1_02BEGIN_10</vt:lpstr>
      <vt:lpstr>'GMIC_2020-Annu_SCDPT1'!SCDPT1_02BEGIN_11</vt:lpstr>
      <vt:lpstr>'GMIC_2020-Annu_SCDPT1'!SCDPT1_02BEGIN_12</vt:lpstr>
      <vt:lpstr>'GMIC_2020-Annu_SCDPT1'!SCDPT1_02BEGIN_13</vt:lpstr>
      <vt:lpstr>'GMIC_2020-Annu_SCDPT1'!SCDPT1_02BEGIN_14</vt:lpstr>
      <vt:lpstr>'GMIC_2020-Annu_SCDPT1'!SCDPT1_02BEGIN_15</vt:lpstr>
      <vt:lpstr>'GMIC_2020-Annu_SCDPT1'!SCDPT1_02BEGIN_16</vt:lpstr>
      <vt:lpstr>'GMIC_2020-Annu_SCDPT1'!SCDPT1_02BEGIN_17</vt:lpstr>
      <vt:lpstr>'GMIC_2020-Annu_SCDPT1'!SCDPT1_02BEGIN_18</vt:lpstr>
      <vt:lpstr>'GMIC_2020-Annu_SCDPT1'!SCDPT1_02BEGIN_19</vt:lpstr>
      <vt:lpstr>'GMIC_2020-Annu_SCDPT1'!SCDPT1_02BEGIN_2</vt:lpstr>
      <vt:lpstr>'GMIC_2020-Annu_SCDPT1'!SCDPT1_02BEGIN_20</vt:lpstr>
      <vt:lpstr>'GMIC_2020-Annu_SCDPT1'!SCDPT1_02BEGIN_21</vt:lpstr>
      <vt:lpstr>'GMIC_2020-Annu_SCDPT1'!SCDPT1_02BEGIN_22</vt:lpstr>
      <vt:lpstr>'GMIC_2020-Annu_SCDPT1'!SCDPT1_02BEGIN_23</vt:lpstr>
      <vt:lpstr>'GMIC_2020-Annu_SCDPT1'!SCDPT1_02BEGIN_24</vt:lpstr>
      <vt:lpstr>'GMIC_2020-Annu_SCDPT1'!SCDPT1_02BEGIN_25</vt:lpstr>
      <vt:lpstr>'GMIC_2020-Annu_SCDPT1'!SCDPT1_02BEGIN_26</vt:lpstr>
      <vt:lpstr>'GMIC_2020-Annu_SCDPT1'!SCDPT1_02BEGIN_27</vt:lpstr>
      <vt:lpstr>'GMIC_2020-Annu_SCDPT1'!SCDPT1_02BEGIN_28</vt:lpstr>
      <vt:lpstr>'GMIC_2020-Annu_SCDPT1'!SCDPT1_02BEGIN_29</vt:lpstr>
      <vt:lpstr>'GMIC_2020-Annu_SCDPT1'!SCDPT1_02BEGIN_3</vt:lpstr>
      <vt:lpstr>'GMIC_2020-Annu_SCDPT1'!SCDPT1_02BEGIN_30</vt:lpstr>
      <vt:lpstr>'GMIC_2020-Annu_SCDPT1'!SCDPT1_02BEGIN_31</vt:lpstr>
      <vt:lpstr>'GMIC_2020-Annu_SCDPT1'!SCDPT1_02BEGIN_32</vt:lpstr>
      <vt:lpstr>'GMIC_2020-Annu_SCDPT1'!SCDPT1_02BEGIN_33</vt:lpstr>
      <vt:lpstr>'GMIC_2020-Annu_SCDPT1'!SCDPT1_02BEGIN_34</vt:lpstr>
      <vt:lpstr>'GMIC_2020-Annu_SCDPT1'!SCDPT1_02BEGIN_35</vt:lpstr>
      <vt:lpstr>'GMIC_2020-Annu_SCDPT1'!SCDPT1_02BEGIN_4</vt:lpstr>
      <vt:lpstr>'GMIC_2020-Annu_SCDPT1'!SCDPT1_02BEGIN_5</vt:lpstr>
      <vt:lpstr>'GMIC_2020-Annu_SCDPT1'!SCDPT1_02BEGIN_6.01</vt:lpstr>
      <vt:lpstr>'GMIC_2020-Annu_SCDPT1'!SCDPT1_02BEGIN_6.02</vt:lpstr>
      <vt:lpstr>'GMIC_2020-Annu_SCDPT1'!SCDPT1_02BEGIN_6.03</vt:lpstr>
      <vt:lpstr>'GMIC_2020-Annu_SCDPT1'!SCDPT1_02BEGIN_7</vt:lpstr>
      <vt:lpstr>'GMIC_2020-Annu_SCDPT1'!SCDPT1_02BEGIN_8</vt:lpstr>
      <vt:lpstr>'GMIC_2020-Annu_SCDPT1'!SCDPT1_02BEGIN_9</vt:lpstr>
      <vt:lpstr>'GMIC_2020-Annu_SCDPT1'!SCDPT1_02ENDIN_10</vt:lpstr>
      <vt:lpstr>'GMIC_2020-Annu_SCDPT1'!SCDPT1_02ENDIN_11</vt:lpstr>
      <vt:lpstr>'GMIC_2020-Annu_SCDPT1'!SCDPT1_02ENDIN_12</vt:lpstr>
      <vt:lpstr>'GMIC_2020-Annu_SCDPT1'!SCDPT1_02ENDIN_13</vt:lpstr>
      <vt:lpstr>'GMIC_2020-Annu_SCDPT1'!SCDPT1_02ENDIN_14</vt:lpstr>
      <vt:lpstr>'GMIC_2020-Annu_SCDPT1'!SCDPT1_02ENDIN_15</vt:lpstr>
      <vt:lpstr>'GMIC_2020-Annu_SCDPT1'!SCDPT1_02ENDIN_16</vt:lpstr>
      <vt:lpstr>'GMIC_2020-Annu_SCDPT1'!SCDPT1_02ENDIN_17</vt:lpstr>
      <vt:lpstr>'GMIC_2020-Annu_SCDPT1'!SCDPT1_02ENDIN_18</vt:lpstr>
      <vt:lpstr>'GMIC_2020-Annu_SCDPT1'!SCDPT1_02ENDIN_19</vt:lpstr>
      <vt:lpstr>'GMIC_2020-Annu_SCDPT1'!SCDPT1_02ENDIN_2</vt:lpstr>
      <vt:lpstr>'GMIC_2020-Annu_SCDPT1'!SCDPT1_02ENDIN_20</vt:lpstr>
      <vt:lpstr>'GMIC_2020-Annu_SCDPT1'!SCDPT1_02ENDIN_21</vt:lpstr>
      <vt:lpstr>'GMIC_2020-Annu_SCDPT1'!SCDPT1_02ENDIN_22</vt:lpstr>
      <vt:lpstr>'GMIC_2020-Annu_SCDPT1'!SCDPT1_02ENDIN_23</vt:lpstr>
      <vt:lpstr>'GMIC_2020-Annu_SCDPT1'!SCDPT1_02ENDIN_24</vt:lpstr>
      <vt:lpstr>'GMIC_2020-Annu_SCDPT1'!SCDPT1_02ENDIN_25</vt:lpstr>
      <vt:lpstr>'GMIC_2020-Annu_SCDPT1'!SCDPT1_02ENDIN_26</vt:lpstr>
      <vt:lpstr>'GMIC_2020-Annu_SCDPT1'!SCDPT1_02ENDIN_27</vt:lpstr>
      <vt:lpstr>'GMIC_2020-Annu_SCDPT1'!SCDPT1_02ENDIN_28</vt:lpstr>
      <vt:lpstr>'GMIC_2020-Annu_SCDPT1'!SCDPT1_02ENDIN_29</vt:lpstr>
      <vt:lpstr>'GMIC_2020-Annu_SCDPT1'!SCDPT1_02ENDIN_3</vt:lpstr>
      <vt:lpstr>'GMIC_2020-Annu_SCDPT1'!SCDPT1_02ENDIN_30</vt:lpstr>
      <vt:lpstr>'GMIC_2020-Annu_SCDPT1'!SCDPT1_02ENDIN_31</vt:lpstr>
      <vt:lpstr>'GMIC_2020-Annu_SCDPT1'!SCDPT1_02ENDIN_32</vt:lpstr>
      <vt:lpstr>'GMIC_2020-Annu_SCDPT1'!SCDPT1_02ENDIN_33</vt:lpstr>
      <vt:lpstr>'GMIC_2020-Annu_SCDPT1'!SCDPT1_02ENDIN_34</vt:lpstr>
      <vt:lpstr>'GMIC_2020-Annu_SCDPT1'!SCDPT1_02ENDIN_35</vt:lpstr>
      <vt:lpstr>'GMIC_2020-Annu_SCDPT1'!SCDPT1_02ENDIN_4</vt:lpstr>
      <vt:lpstr>'GMIC_2020-Annu_SCDPT1'!SCDPT1_02ENDIN_5</vt:lpstr>
      <vt:lpstr>'GMIC_2020-Annu_SCDPT1'!SCDPT1_02ENDIN_6.01</vt:lpstr>
      <vt:lpstr>'GMIC_2020-Annu_SCDPT1'!SCDPT1_02ENDIN_6.02</vt:lpstr>
      <vt:lpstr>'GMIC_2020-Annu_SCDPT1'!SCDPT1_02ENDIN_6.03</vt:lpstr>
      <vt:lpstr>'GMIC_2020-Annu_SCDPT1'!SCDPT1_02ENDIN_7</vt:lpstr>
      <vt:lpstr>'GMIC_2020-Annu_SCDPT1'!SCDPT1_02ENDIN_8</vt:lpstr>
      <vt:lpstr>'GMIC_2020-Annu_SCDPT1'!SCDPT1_02ENDIN_9</vt:lpstr>
      <vt:lpstr>'GMIC_2020-Annu_SCDPT1'!SCDPT1_0300000_Range</vt:lpstr>
      <vt:lpstr>'GMIC_2020-Annu_SCDPT1'!SCDPT1_0399999_10</vt:lpstr>
      <vt:lpstr>'GMIC_2020-Annu_SCDPT1'!SCDPT1_0399999_11</vt:lpstr>
      <vt:lpstr>'GMIC_2020-Annu_SCDPT1'!SCDPT1_0399999_12</vt:lpstr>
      <vt:lpstr>'GMIC_2020-Annu_SCDPT1'!SCDPT1_0399999_13</vt:lpstr>
      <vt:lpstr>'GMIC_2020-Annu_SCDPT1'!SCDPT1_0399999_14</vt:lpstr>
      <vt:lpstr>'GMIC_2020-Annu_SCDPT1'!SCDPT1_0399999_15</vt:lpstr>
      <vt:lpstr>'GMIC_2020-Annu_SCDPT1'!SCDPT1_0399999_19</vt:lpstr>
      <vt:lpstr>'GMIC_2020-Annu_SCDPT1'!SCDPT1_0399999_20</vt:lpstr>
      <vt:lpstr>'GMIC_2020-Annu_SCDPT1'!SCDPT1_0399999_7</vt:lpstr>
      <vt:lpstr>'GMIC_2020-Annu_SCDPT1'!SCDPT1_0399999_9</vt:lpstr>
      <vt:lpstr>'GMIC_2020-Annu_SCDPT1'!SCDPT1_03BEGIN_1</vt:lpstr>
      <vt:lpstr>'GMIC_2020-Annu_SCDPT1'!SCDPT1_03BEGIN_10</vt:lpstr>
      <vt:lpstr>'GMIC_2020-Annu_SCDPT1'!SCDPT1_03BEGIN_11</vt:lpstr>
      <vt:lpstr>'GMIC_2020-Annu_SCDPT1'!SCDPT1_03BEGIN_12</vt:lpstr>
      <vt:lpstr>'GMIC_2020-Annu_SCDPT1'!SCDPT1_03BEGIN_13</vt:lpstr>
      <vt:lpstr>'GMIC_2020-Annu_SCDPT1'!SCDPT1_03BEGIN_14</vt:lpstr>
      <vt:lpstr>'GMIC_2020-Annu_SCDPT1'!SCDPT1_03BEGIN_15</vt:lpstr>
      <vt:lpstr>'GMIC_2020-Annu_SCDPT1'!SCDPT1_03BEGIN_16</vt:lpstr>
      <vt:lpstr>'GMIC_2020-Annu_SCDPT1'!SCDPT1_03BEGIN_17</vt:lpstr>
      <vt:lpstr>'GMIC_2020-Annu_SCDPT1'!SCDPT1_03BEGIN_18</vt:lpstr>
      <vt:lpstr>'GMIC_2020-Annu_SCDPT1'!SCDPT1_03BEGIN_19</vt:lpstr>
      <vt:lpstr>'GMIC_2020-Annu_SCDPT1'!SCDPT1_03BEGIN_2</vt:lpstr>
      <vt:lpstr>'GMIC_2020-Annu_SCDPT1'!SCDPT1_03BEGIN_20</vt:lpstr>
      <vt:lpstr>'GMIC_2020-Annu_SCDPT1'!SCDPT1_03BEGIN_21</vt:lpstr>
      <vt:lpstr>'GMIC_2020-Annu_SCDPT1'!SCDPT1_03BEGIN_22</vt:lpstr>
      <vt:lpstr>'GMIC_2020-Annu_SCDPT1'!SCDPT1_03BEGIN_23</vt:lpstr>
      <vt:lpstr>'GMIC_2020-Annu_SCDPT1'!SCDPT1_03BEGIN_24</vt:lpstr>
      <vt:lpstr>'GMIC_2020-Annu_SCDPT1'!SCDPT1_03BEGIN_25</vt:lpstr>
      <vt:lpstr>'GMIC_2020-Annu_SCDPT1'!SCDPT1_03BEGIN_26</vt:lpstr>
      <vt:lpstr>'GMIC_2020-Annu_SCDPT1'!SCDPT1_03BEGIN_27</vt:lpstr>
      <vt:lpstr>'GMIC_2020-Annu_SCDPT1'!SCDPT1_03BEGIN_28</vt:lpstr>
      <vt:lpstr>'GMIC_2020-Annu_SCDPT1'!SCDPT1_03BEGIN_29</vt:lpstr>
      <vt:lpstr>'GMIC_2020-Annu_SCDPT1'!SCDPT1_03BEGIN_3</vt:lpstr>
      <vt:lpstr>'GMIC_2020-Annu_SCDPT1'!SCDPT1_03BEGIN_30</vt:lpstr>
      <vt:lpstr>'GMIC_2020-Annu_SCDPT1'!SCDPT1_03BEGIN_31</vt:lpstr>
      <vt:lpstr>'GMIC_2020-Annu_SCDPT1'!SCDPT1_03BEGIN_32</vt:lpstr>
      <vt:lpstr>'GMIC_2020-Annu_SCDPT1'!SCDPT1_03BEGIN_33</vt:lpstr>
      <vt:lpstr>'GMIC_2020-Annu_SCDPT1'!SCDPT1_03BEGIN_34</vt:lpstr>
      <vt:lpstr>'GMIC_2020-Annu_SCDPT1'!SCDPT1_03BEGIN_35</vt:lpstr>
      <vt:lpstr>'GMIC_2020-Annu_SCDPT1'!SCDPT1_03BEGIN_4</vt:lpstr>
      <vt:lpstr>'GMIC_2020-Annu_SCDPT1'!SCDPT1_03BEGIN_5</vt:lpstr>
      <vt:lpstr>'GMIC_2020-Annu_SCDPT1'!SCDPT1_03BEGIN_6.01</vt:lpstr>
      <vt:lpstr>'GMIC_2020-Annu_SCDPT1'!SCDPT1_03BEGIN_6.02</vt:lpstr>
      <vt:lpstr>'GMIC_2020-Annu_SCDPT1'!SCDPT1_03BEGIN_6.03</vt:lpstr>
      <vt:lpstr>'GMIC_2020-Annu_SCDPT1'!SCDPT1_03BEGIN_7</vt:lpstr>
      <vt:lpstr>'GMIC_2020-Annu_SCDPT1'!SCDPT1_03BEGIN_8</vt:lpstr>
      <vt:lpstr>'GMIC_2020-Annu_SCDPT1'!SCDPT1_03BEGIN_9</vt:lpstr>
      <vt:lpstr>'GMIC_2020-Annu_SCDPT1'!SCDPT1_03ENDIN_10</vt:lpstr>
      <vt:lpstr>'GMIC_2020-Annu_SCDPT1'!SCDPT1_03ENDIN_11</vt:lpstr>
      <vt:lpstr>'GMIC_2020-Annu_SCDPT1'!SCDPT1_03ENDIN_12</vt:lpstr>
      <vt:lpstr>'GMIC_2020-Annu_SCDPT1'!SCDPT1_03ENDIN_13</vt:lpstr>
      <vt:lpstr>'GMIC_2020-Annu_SCDPT1'!SCDPT1_03ENDIN_14</vt:lpstr>
      <vt:lpstr>'GMIC_2020-Annu_SCDPT1'!SCDPT1_03ENDIN_15</vt:lpstr>
      <vt:lpstr>'GMIC_2020-Annu_SCDPT1'!SCDPT1_03ENDIN_16</vt:lpstr>
      <vt:lpstr>'GMIC_2020-Annu_SCDPT1'!SCDPT1_03ENDIN_17</vt:lpstr>
      <vt:lpstr>'GMIC_2020-Annu_SCDPT1'!SCDPT1_03ENDIN_18</vt:lpstr>
      <vt:lpstr>'GMIC_2020-Annu_SCDPT1'!SCDPT1_03ENDIN_19</vt:lpstr>
      <vt:lpstr>'GMIC_2020-Annu_SCDPT1'!SCDPT1_03ENDIN_2</vt:lpstr>
      <vt:lpstr>'GMIC_2020-Annu_SCDPT1'!SCDPT1_03ENDIN_20</vt:lpstr>
      <vt:lpstr>'GMIC_2020-Annu_SCDPT1'!SCDPT1_03ENDIN_21</vt:lpstr>
      <vt:lpstr>'GMIC_2020-Annu_SCDPT1'!SCDPT1_03ENDIN_22</vt:lpstr>
      <vt:lpstr>'GMIC_2020-Annu_SCDPT1'!SCDPT1_03ENDIN_23</vt:lpstr>
      <vt:lpstr>'GMIC_2020-Annu_SCDPT1'!SCDPT1_03ENDIN_24</vt:lpstr>
      <vt:lpstr>'GMIC_2020-Annu_SCDPT1'!SCDPT1_03ENDIN_25</vt:lpstr>
      <vt:lpstr>'GMIC_2020-Annu_SCDPT1'!SCDPT1_03ENDIN_26</vt:lpstr>
      <vt:lpstr>'GMIC_2020-Annu_SCDPT1'!SCDPT1_03ENDIN_27</vt:lpstr>
      <vt:lpstr>'GMIC_2020-Annu_SCDPT1'!SCDPT1_03ENDIN_28</vt:lpstr>
      <vt:lpstr>'GMIC_2020-Annu_SCDPT1'!SCDPT1_03ENDIN_29</vt:lpstr>
      <vt:lpstr>'GMIC_2020-Annu_SCDPT1'!SCDPT1_03ENDIN_3</vt:lpstr>
      <vt:lpstr>'GMIC_2020-Annu_SCDPT1'!SCDPT1_03ENDIN_30</vt:lpstr>
      <vt:lpstr>'GMIC_2020-Annu_SCDPT1'!SCDPT1_03ENDIN_31</vt:lpstr>
      <vt:lpstr>'GMIC_2020-Annu_SCDPT1'!SCDPT1_03ENDIN_32</vt:lpstr>
      <vt:lpstr>'GMIC_2020-Annu_SCDPT1'!SCDPT1_03ENDIN_33</vt:lpstr>
      <vt:lpstr>'GMIC_2020-Annu_SCDPT1'!SCDPT1_03ENDIN_34</vt:lpstr>
      <vt:lpstr>'GMIC_2020-Annu_SCDPT1'!SCDPT1_03ENDIN_35</vt:lpstr>
      <vt:lpstr>'GMIC_2020-Annu_SCDPT1'!SCDPT1_03ENDIN_4</vt:lpstr>
      <vt:lpstr>'GMIC_2020-Annu_SCDPT1'!SCDPT1_03ENDIN_5</vt:lpstr>
      <vt:lpstr>'GMIC_2020-Annu_SCDPT1'!SCDPT1_03ENDIN_6.01</vt:lpstr>
      <vt:lpstr>'GMIC_2020-Annu_SCDPT1'!SCDPT1_03ENDIN_6.02</vt:lpstr>
      <vt:lpstr>'GMIC_2020-Annu_SCDPT1'!SCDPT1_03ENDIN_6.03</vt:lpstr>
      <vt:lpstr>'GMIC_2020-Annu_SCDPT1'!SCDPT1_03ENDIN_7</vt:lpstr>
      <vt:lpstr>'GMIC_2020-Annu_SCDPT1'!SCDPT1_03ENDIN_8</vt:lpstr>
      <vt:lpstr>'GMIC_2020-Annu_SCDPT1'!SCDPT1_03ENDIN_9</vt:lpstr>
      <vt:lpstr>'GMIC_2020-Annu_SCDPT1'!SCDPT1_0400000_Range</vt:lpstr>
      <vt:lpstr>'GMIC_2020-Annu_SCDPT1'!SCDPT1_0499999_10</vt:lpstr>
      <vt:lpstr>'GMIC_2020-Annu_SCDPT1'!SCDPT1_0499999_11</vt:lpstr>
      <vt:lpstr>'GMIC_2020-Annu_SCDPT1'!SCDPT1_0499999_12</vt:lpstr>
      <vt:lpstr>'GMIC_2020-Annu_SCDPT1'!SCDPT1_0499999_13</vt:lpstr>
      <vt:lpstr>'GMIC_2020-Annu_SCDPT1'!SCDPT1_0499999_14</vt:lpstr>
      <vt:lpstr>'GMIC_2020-Annu_SCDPT1'!SCDPT1_0499999_15</vt:lpstr>
      <vt:lpstr>'GMIC_2020-Annu_SCDPT1'!SCDPT1_0499999_19</vt:lpstr>
      <vt:lpstr>'GMIC_2020-Annu_SCDPT1'!SCDPT1_0499999_20</vt:lpstr>
      <vt:lpstr>'GMIC_2020-Annu_SCDPT1'!SCDPT1_0499999_7</vt:lpstr>
      <vt:lpstr>'GMIC_2020-Annu_SCDPT1'!SCDPT1_0499999_9</vt:lpstr>
      <vt:lpstr>'GMIC_2020-Annu_SCDPT1'!SCDPT1_04BEGIN_1</vt:lpstr>
      <vt:lpstr>'GMIC_2020-Annu_SCDPT1'!SCDPT1_04BEGIN_10</vt:lpstr>
      <vt:lpstr>'GMIC_2020-Annu_SCDPT1'!SCDPT1_04BEGIN_11</vt:lpstr>
      <vt:lpstr>'GMIC_2020-Annu_SCDPT1'!SCDPT1_04BEGIN_12</vt:lpstr>
      <vt:lpstr>'GMIC_2020-Annu_SCDPT1'!SCDPT1_04BEGIN_13</vt:lpstr>
      <vt:lpstr>'GMIC_2020-Annu_SCDPT1'!SCDPT1_04BEGIN_14</vt:lpstr>
      <vt:lpstr>'GMIC_2020-Annu_SCDPT1'!SCDPT1_04BEGIN_15</vt:lpstr>
      <vt:lpstr>'GMIC_2020-Annu_SCDPT1'!SCDPT1_04BEGIN_16</vt:lpstr>
      <vt:lpstr>'GMIC_2020-Annu_SCDPT1'!SCDPT1_04BEGIN_17</vt:lpstr>
      <vt:lpstr>'GMIC_2020-Annu_SCDPT1'!SCDPT1_04BEGIN_18</vt:lpstr>
      <vt:lpstr>'GMIC_2020-Annu_SCDPT1'!SCDPT1_04BEGIN_19</vt:lpstr>
      <vt:lpstr>'GMIC_2020-Annu_SCDPT1'!SCDPT1_04BEGIN_2</vt:lpstr>
      <vt:lpstr>'GMIC_2020-Annu_SCDPT1'!SCDPT1_04BEGIN_20</vt:lpstr>
      <vt:lpstr>'GMIC_2020-Annu_SCDPT1'!SCDPT1_04BEGIN_21</vt:lpstr>
      <vt:lpstr>'GMIC_2020-Annu_SCDPT1'!SCDPT1_04BEGIN_22</vt:lpstr>
      <vt:lpstr>'GMIC_2020-Annu_SCDPT1'!SCDPT1_04BEGIN_23</vt:lpstr>
      <vt:lpstr>'GMIC_2020-Annu_SCDPT1'!SCDPT1_04BEGIN_24</vt:lpstr>
      <vt:lpstr>'GMIC_2020-Annu_SCDPT1'!SCDPT1_04BEGIN_25</vt:lpstr>
      <vt:lpstr>'GMIC_2020-Annu_SCDPT1'!SCDPT1_04BEGIN_26</vt:lpstr>
      <vt:lpstr>'GMIC_2020-Annu_SCDPT1'!SCDPT1_04BEGIN_27</vt:lpstr>
      <vt:lpstr>'GMIC_2020-Annu_SCDPT1'!SCDPT1_04BEGIN_28</vt:lpstr>
      <vt:lpstr>'GMIC_2020-Annu_SCDPT1'!SCDPT1_04BEGIN_29</vt:lpstr>
      <vt:lpstr>'GMIC_2020-Annu_SCDPT1'!SCDPT1_04BEGIN_3</vt:lpstr>
      <vt:lpstr>'GMIC_2020-Annu_SCDPT1'!SCDPT1_04BEGIN_30</vt:lpstr>
      <vt:lpstr>'GMIC_2020-Annu_SCDPT1'!SCDPT1_04BEGIN_31</vt:lpstr>
      <vt:lpstr>'GMIC_2020-Annu_SCDPT1'!SCDPT1_04BEGIN_32</vt:lpstr>
      <vt:lpstr>'GMIC_2020-Annu_SCDPT1'!SCDPT1_04BEGIN_33</vt:lpstr>
      <vt:lpstr>'GMIC_2020-Annu_SCDPT1'!SCDPT1_04BEGIN_34</vt:lpstr>
      <vt:lpstr>'GMIC_2020-Annu_SCDPT1'!SCDPT1_04BEGIN_35</vt:lpstr>
      <vt:lpstr>'GMIC_2020-Annu_SCDPT1'!SCDPT1_04BEGIN_4</vt:lpstr>
      <vt:lpstr>'GMIC_2020-Annu_SCDPT1'!SCDPT1_04BEGIN_5</vt:lpstr>
      <vt:lpstr>'GMIC_2020-Annu_SCDPT1'!SCDPT1_04BEGIN_6.01</vt:lpstr>
      <vt:lpstr>'GMIC_2020-Annu_SCDPT1'!SCDPT1_04BEGIN_6.02</vt:lpstr>
      <vt:lpstr>'GMIC_2020-Annu_SCDPT1'!SCDPT1_04BEGIN_6.03</vt:lpstr>
      <vt:lpstr>'GMIC_2020-Annu_SCDPT1'!SCDPT1_04BEGIN_7</vt:lpstr>
      <vt:lpstr>'GMIC_2020-Annu_SCDPT1'!SCDPT1_04BEGIN_8</vt:lpstr>
      <vt:lpstr>'GMIC_2020-Annu_SCDPT1'!SCDPT1_04BEGIN_9</vt:lpstr>
      <vt:lpstr>'GMIC_2020-Annu_SCDPT1'!SCDPT1_04ENDIN_10</vt:lpstr>
      <vt:lpstr>'GMIC_2020-Annu_SCDPT1'!SCDPT1_04ENDIN_11</vt:lpstr>
      <vt:lpstr>'GMIC_2020-Annu_SCDPT1'!SCDPT1_04ENDIN_12</vt:lpstr>
      <vt:lpstr>'GMIC_2020-Annu_SCDPT1'!SCDPT1_04ENDIN_13</vt:lpstr>
      <vt:lpstr>'GMIC_2020-Annu_SCDPT1'!SCDPT1_04ENDIN_14</vt:lpstr>
      <vt:lpstr>'GMIC_2020-Annu_SCDPT1'!SCDPT1_04ENDIN_15</vt:lpstr>
      <vt:lpstr>'GMIC_2020-Annu_SCDPT1'!SCDPT1_04ENDIN_16</vt:lpstr>
      <vt:lpstr>'GMIC_2020-Annu_SCDPT1'!SCDPT1_04ENDIN_17</vt:lpstr>
      <vt:lpstr>'GMIC_2020-Annu_SCDPT1'!SCDPT1_04ENDIN_18</vt:lpstr>
      <vt:lpstr>'GMIC_2020-Annu_SCDPT1'!SCDPT1_04ENDIN_19</vt:lpstr>
      <vt:lpstr>'GMIC_2020-Annu_SCDPT1'!SCDPT1_04ENDIN_2</vt:lpstr>
      <vt:lpstr>'GMIC_2020-Annu_SCDPT1'!SCDPT1_04ENDIN_20</vt:lpstr>
      <vt:lpstr>'GMIC_2020-Annu_SCDPT1'!SCDPT1_04ENDIN_21</vt:lpstr>
      <vt:lpstr>'GMIC_2020-Annu_SCDPT1'!SCDPT1_04ENDIN_22</vt:lpstr>
      <vt:lpstr>'GMIC_2020-Annu_SCDPT1'!SCDPT1_04ENDIN_23</vt:lpstr>
      <vt:lpstr>'GMIC_2020-Annu_SCDPT1'!SCDPT1_04ENDIN_24</vt:lpstr>
      <vt:lpstr>'GMIC_2020-Annu_SCDPT1'!SCDPT1_04ENDIN_25</vt:lpstr>
      <vt:lpstr>'GMIC_2020-Annu_SCDPT1'!SCDPT1_04ENDIN_26</vt:lpstr>
      <vt:lpstr>'GMIC_2020-Annu_SCDPT1'!SCDPT1_04ENDIN_27</vt:lpstr>
      <vt:lpstr>'GMIC_2020-Annu_SCDPT1'!SCDPT1_04ENDIN_28</vt:lpstr>
      <vt:lpstr>'GMIC_2020-Annu_SCDPT1'!SCDPT1_04ENDIN_29</vt:lpstr>
      <vt:lpstr>'GMIC_2020-Annu_SCDPT1'!SCDPT1_04ENDIN_3</vt:lpstr>
      <vt:lpstr>'GMIC_2020-Annu_SCDPT1'!SCDPT1_04ENDIN_30</vt:lpstr>
      <vt:lpstr>'GMIC_2020-Annu_SCDPT1'!SCDPT1_04ENDIN_31</vt:lpstr>
      <vt:lpstr>'GMIC_2020-Annu_SCDPT1'!SCDPT1_04ENDIN_32</vt:lpstr>
      <vt:lpstr>'GMIC_2020-Annu_SCDPT1'!SCDPT1_04ENDIN_33</vt:lpstr>
      <vt:lpstr>'GMIC_2020-Annu_SCDPT1'!SCDPT1_04ENDIN_34</vt:lpstr>
      <vt:lpstr>'GMIC_2020-Annu_SCDPT1'!SCDPT1_04ENDIN_35</vt:lpstr>
      <vt:lpstr>'GMIC_2020-Annu_SCDPT1'!SCDPT1_04ENDIN_4</vt:lpstr>
      <vt:lpstr>'GMIC_2020-Annu_SCDPT1'!SCDPT1_04ENDIN_5</vt:lpstr>
      <vt:lpstr>'GMIC_2020-Annu_SCDPT1'!SCDPT1_04ENDIN_6.01</vt:lpstr>
      <vt:lpstr>'GMIC_2020-Annu_SCDPT1'!SCDPT1_04ENDIN_6.02</vt:lpstr>
      <vt:lpstr>'GMIC_2020-Annu_SCDPT1'!SCDPT1_04ENDIN_6.03</vt:lpstr>
      <vt:lpstr>'GMIC_2020-Annu_SCDPT1'!SCDPT1_04ENDIN_7</vt:lpstr>
      <vt:lpstr>'GMIC_2020-Annu_SCDPT1'!SCDPT1_04ENDIN_8</vt:lpstr>
      <vt:lpstr>'GMIC_2020-Annu_SCDPT1'!SCDPT1_04ENDIN_9</vt:lpstr>
      <vt:lpstr>'GMIC_2020-Annu_SCDPT1'!SCDPT1_0599999_10</vt:lpstr>
      <vt:lpstr>'GMIC_2020-Annu_SCDPT1'!SCDPT1_0599999_11</vt:lpstr>
      <vt:lpstr>'GMIC_2020-Annu_SCDPT1'!SCDPT1_0599999_12</vt:lpstr>
      <vt:lpstr>'GMIC_2020-Annu_SCDPT1'!SCDPT1_0599999_13</vt:lpstr>
      <vt:lpstr>'GMIC_2020-Annu_SCDPT1'!SCDPT1_0599999_14</vt:lpstr>
      <vt:lpstr>'GMIC_2020-Annu_SCDPT1'!SCDPT1_0599999_15</vt:lpstr>
      <vt:lpstr>'GMIC_2020-Annu_SCDPT1'!SCDPT1_0599999_19</vt:lpstr>
      <vt:lpstr>'GMIC_2020-Annu_SCDPT1'!SCDPT1_0599999_20</vt:lpstr>
      <vt:lpstr>'GMIC_2020-Annu_SCDPT1'!SCDPT1_0599999_7</vt:lpstr>
      <vt:lpstr>'GMIC_2020-Annu_SCDPT1'!SCDPT1_0599999_9</vt:lpstr>
      <vt:lpstr>'GMIC_2020-Annu_SCDPT1'!SCDPT1_0600000_Range</vt:lpstr>
      <vt:lpstr>'GMIC_2020-Annu_SCDPT1'!SCDPT1_0600001_1</vt:lpstr>
      <vt:lpstr>'GMIC_2020-Annu_SCDPT1'!SCDPT1_0600001_10</vt:lpstr>
      <vt:lpstr>'GMIC_2020-Annu_SCDPT1'!SCDPT1_0600001_11</vt:lpstr>
      <vt:lpstr>'GMIC_2020-Annu_SCDPT1'!SCDPT1_0600001_12</vt:lpstr>
      <vt:lpstr>'GMIC_2020-Annu_SCDPT1'!SCDPT1_0600001_13</vt:lpstr>
      <vt:lpstr>'GMIC_2020-Annu_SCDPT1'!SCDPT1_0600001_14</vt:lpstr>
      <vt:lpstr>'GMIC_2020-Annu_SCDPT1'!SCDPT1_0600001_15</vt:lpstr>
      <vt:lpstr>'GMIC_2020-Annu_SCDPT1'!SCDPT1_0600001_16</vt:lpstr>
      <vt:lpstr>'GMIC_2020-Annu_SCDPT1'!SCDPT1_0600001_17</vt:lpstr>
      <vt:lpstr>'GMIC_2020-Annu_SCDPT1'!SCDPT1_0600001_18</vt:lpstr>
      <vt:lpstr>'GMIC_2020-Annu_SCDPT1'!SCDPT1_0600001_19</vt:lpstr>
      <vt:lpstr>'GMIC_2020-Annu_SCDPT1'!SCDPT1_0600001_2</vt:lpstr>
      <vt:lpstr>'GMIC_2020-Annu_SCDPT1'!SCDPT1_0600001_20</vt:lpstr>
      <vt:lpstr>'GMIC_2020-Annu_SCDPT1'!SCDPT1_0600001_21</vt:lpstr>
      <vt:lpstr>'GMIC_2020-Annu_SCDPT1'!SCDPT1_0600001_22</vt:lpstr>
      <vt:lpstr>'GMIC_2020-Annu_SCDPT1'!SCDPT1_0600001_24</vt:lpstr>
      <vt:lpstr>'GMIC_2020-Annu_SCDPT1'!SCDPT1_0600001_25</vt:lpstr>
      <vt:lpstr>'GMIC_2020-Annu_SCDPT1'!SCDPT1_0600001_27</vt:lpstr>
      <vt:lpstr>'GMIC_2020-Annu_SCDPT1'!SCDPT1_0600001_28</vt:lpstr>
      <vt:lpstr>'GMIC_2020-Annu_SCDPT1'!SCDPT1_0600001_29</vt:lpstr>
      <vt:lpstr>'GMIC_2020-Annu_SCDPT1'!SCDPT1_0600001_3</vt:lpstr>
      <vt:lpstr>'GMIC_2020-Annu_SCDPT1'!SCDPT1_0600001_30</vt:lpstr>
      <vt:lpstr>'GMIC_2020-Annu_SCDPT1'!SCDPT1_0600001_31</vt:lpstr>
      <vt:lpstr>'GMIC_2020-Annu_SCDPT1'!SCDPT1_0600001_32</vt:lpstr>
      <vt:lpstr>'GMIC_2020-Annu_SCDPT1'!SCDPT1_0600001_33</vt:lpstr>
      <vt:lpstr>'GMIC_2020-Annu_SCDPT1'!SCDPT1_0600001_34</vt:lpstr>
      <vt:lpstr>'GMIC_2020-Annu_SCDPT1'!SCDPT1_0600001_35</vt:lpstr>
      <vt:lpstr>'GMIC_2020-Annu_SCDPT1'!SCDPT1_0600001_4</vt:lpstr>
      <vt:lpstr>'GMIC_2020-Annu_SCDPT1'!SCDPT1_0600001_5</vt:lpstr>
      <vt:lpstr>'GMIC_2020-Annu_SCDPT1'!SCDPT1_0600001_6.01</vt:lpstr>
      <vt:lpstr>'GMIC_2020-Annu_SCDPT1'!SCDPT1_0600001_6.02</vt:lpstr>
      <vt:lpstr>'GMIC_2020-Annu_SCDPT1'!SCDPT1_0600001_6.03</vt:lpstr>
      <vt:lpstr>'GMIC_2020-Annu_SCDPT1'!SCDPT1_0600001_7</vt:lpstr>
      <vt:lpstr>'GMIC_2020-Annu_SCDPT1'!SCDPT1_0600001_8</vt:lpstr>
      <vt:lpstr>'GMIC_2020-Annu_SCDPT1'!SCDPT1_0600001_9</vt:lpstr>
      <vt:lpstr>'GMIC_2020-Annu_SCDPT1'!SCDPT1_0699999_10</vt:lpstr>
      <vt:lpstr>'GMIC_2020-Annu_SCDPT1'!SCDPT1_0699999_11</vt:lpstr>
      <vt:lpstr>'GMIC_2020-Annu_SCDPT1'!SCDPT1_0699999_12</vt:lpstr>
      <vt:lpstr>'GMIC_2020-Annu_SCDPT1'!SCDPT1_0699999_13</vt:lpstr>
      <vt:lpstr>'GMIC_2020-Annu_SCDPT1'!SCDPT1_0699999_14</vt:lpstr>
      <vt:lpstr>'GMIC_2020-Annu_SCDPT1'!SCDPT1_0699999_15</vt:lpstr>
      <vt:lpstr>'GMIC_2020-Annu_SCDPT1'!SCDPT1_0699999_19</vt:lpstr>
      <vt:lpstr>'GMIC_2020-Annu_SCDPT1'!SCDPT1_0699999_20</vt:lpstr>
      <vt:lpstr>'GMIC_2020-Annu_SCDPT1'!SCDPT1_0699999_7</vt:lpstr>
      <vt:lpstr>'GMIC_2020-Annu_SCDPT1'!SCDPT1_0699999_9</vt:lpstr>
      <vt:lpstr>'GMIC_2020-Annu_SCDPT1'!SCDPT1_06BEGIN_1</vt:lpstr>
      <vt:lpstr>'GMIC_2020-Annu_SCDPT1'!SCDPT1_06BEGIN_10</vt:lpstr>
      <vt:lpstr>'GMIC_2020-Annu_SCDPT1'!SCDPT1_06BEGIN_11</vt:lpstr>
      <vt:lpstr>'GMIC_2020-Annu_SCDPT1'!SCDPT1_06BEGIN_12</vt:lpstr>
      <vt:lpstr>'GMIC_2020-Annu_SCDPT1'!SCDPT1_06BEGIN_13</vt:lpstr>
      <vt:lpstr>'GMIC_2020-Annu_SCDPT1'!SCDPT1_06BEGIN_14</vt:lpstr>
      <vt:lpstr>'GMIC_2020-Annu_SCDPT1'!SCDPT1_06BEGIN_15</vt:lpstr>
      <vt:lpstr>'GMIC_2020-Annu_SCDPT1'!SCDPT1_06BEGIN_16</vt:lpstr>
      <vt:lpstr>'GMIC_2020-Annu_SCDPT1'!SCDPT1_06BEGIN_17</vt:lpstr>
      <vt:lpstr>'GMIC_2020-Annu_SCDPT1'!SCDPT1_06BEGIN_18</vt:lpstr>
      <vt:lpstr>'GMIC_2020-Annu_SCDPT1'!SCDPT1_06BEGIN_19</vt:lpstr>
      <vt:lpstr>'GMIC_2020-Annu_SCDPT1'!SCDPT1_06BEGIN_2</vt:lpstr>
      <vt:lpstr>'GMIC_2020-Annu_SCDPT1'!SCDPT1_06BEGIN_20</vt:lpstr>
      <vt:lpstr>'GMIC_2020-Annu_SCDPT1'!SCDPT1_06BEGIN_21</vt:lpstr>
      <vt:lpstr>'GMIC_2020-Annu_SCDPT1'!SCDPT1_06BEGIN_22</vt:lpstr>
      <vt:lpstr>'GMIC_2020-Annu_SCDPT1'!SCDPT1_06BEGIN_23</vt:lpstr>
      <vt:lpstr>'GMIC_2020-Annu_SCDPT1'!SCDPT1_06BEGIN_24</vt:lpstr>
      <vt:lpstr>'GMIC_2020-Annu_SCDPT1'!SCDPT1_06BEGIN_25</vt:lpstr>
      <vt:lpstr>'GMIC_2020-Annu_SCDPT1'!SCDPT1_06BEGIN_26</vt:lpstr>
      <vt:lpstr>'GMIC_2020-Annu_SCDPT1'!SCDPT1_06BEGIN_27</vt:lpstr>
      <vt:lpstr>'GMIC_2020-Annu_SCDPT1'!SCDPT1_06BEGIN_28</vt:lpstr>
      <vt:lpstr>'GMIC_2020-Annu_SCDPT1'!SCDPT1_06BEGIN_29</vt:lpstr>
      <vt:lpstr>'GMIC_2020-Annu_SCDPT1'!SCDPT1_06BEGIN_3</vt:lpstr>
      <vt:lpstr>'GMIC_2020-Annu_SCDPT1'!SCDPT1_06BEGIN_30</vt:lpstr>
      <vt:lpstr>'GMIC_2020-Annu_SCDPT1'!SCDPT1_06BEGIN_31</vt:lpstr>
      <vt:lpstr>'GMIC_2020-Annu_SCDPT1'!SCDPT1_06BEGIN_32</vt:lpstr>
      <vt:lpstr>'GMIC_2020-Annu_SCDPT1'!SCDPT1_06BEGIN_33</vt:lpstr>
      <vt:lpstr>'GMIC_2020-Annu_SCDPT1'!SCDPT1_06BEGIN_34</vt:lpstr>
      <vt:lpstr>'GMIC_2020-Annu_SCDPT1'!SCDPT1_06BEGIN_35</vt:lpstr>
      <vt:lpstr>'GMIC_2020-Annu_SCDPT1'!SCDPT1_06BEGIN_4</vt:lpstr>
      <vt:lpstr>'GMIC_2020-Annu_SCDPT1'!SCDPT1_06BEGIN_5</vt:lpstr>
      <vt:lpstr>'GMIC_2020-Annu_SCDPT1'!SCDPT1_06BEGIN_6.01</vt:lpstr>
      <vt:lpstr>'GMIC_2020-Annu_SCDPT1'!SCDPT1_06BEGIN_6.02</vt:lpstr>
      <vt:lpstr>'GMIC_2020-Annu_SCDPT1'!SCDPT1_06BEGIN_6.03</vt:lpstr>
      <vt:lpstr>'GMIC_2020-Annu_SCDPT1'!SCDPT1_06BEGIN_7</vt:lpstr>
      <vt:lpstr>'GMIC_2020-Annu_SCDPT1'!SCDPT1_06BEGIN_8</vt:lpstr>
      <vt:lpstr>'GMIC_2020-Annu_SCDPT1'!SCDPT1_06BEGIN_9</vt:lpstr>
      <vt:lpstr>'GMIC_2020-Annu_SCDPT1'!SCDPT1_06ENDIN_10</vt:lpstr>
      <vt:lpstr>'GMIC_2020-Annu_SCDPT1'!SCDPT1_06ENDIN_11</vt:lpstr>
      <vt:lpstr>'GMIC_2020-Annu_SCDPT1'!SCDPT1_06ENDIN_12</vt:lpstr>
      <vt:lpstr>'GMIC_2020-Annu_SCDPT1'!SCDPT1_06ENDIN_13</vt:lpstr>
      <vt:lpstr>'GMIC_2020-Annu_SCDPT1'!SCDPT1_06ENDIN_14</vt:lpstr>
      <vt:lpstr>'GMIC_2020-Annu_SCDPT1'!SCDPT1_06ENDIN_15</vt:lpstr>
      <vt:lpstr>'GMIC_2020-Annu_SCDPT1'!SCDPT1_06ENDIN_16</vt:lpstr>
      <vt:lpstr>'GMIC_2020-Annu_SCDPT1'!SCDPT1_06ENDIN_17</vt:lpstr>
      <vt:lpstr>'GMIC_2020-Annu_SCDPT1'!SCDPT1_06ENDIN_18</vt:lpstr>
      <vt:lpstr>'GMIC_2020-Annu_SCDPT1'!SCDPT1_06ENDIN_19</vt:lpstr>
      <vt:lpstr>'GMIC_2020-Annu_SCDPT1'!SCDPT1_06ENDIN_2</vt:lpstr>
      <vt:lpstr>'GMIC_2020-Annu_SCDPT1'!SCDPT1_06ENDIN_20</vt:lpstr>
      <vt:lpstr>'GMIC_2020-Annu_SCDPT1'!SCDPT1_06ENDIN_21</vt:lpstr>
      <vt:lpstr>'GMIC_2020-Annu_SCDPT1'!SCDPT1_06ENDIN_22</vt:lpstr>
      <vt:lpstr>'GMIC_2020-Annu_SCDPT1'!SCDPT1_06ENDIN_23</vt:lpstr>
      <vt:lpstr>'GMIC_2020-Annu_SCDPT1'!SCDPT1_06ENDIN_24</vt:lpstr>
      <vt:lpstr>'GMIC_2020-Annu_SCDPT1'!SCDPT1_06ENDIN_25</vt:lpstr>
      <vt:lpstr>'GMIC_2020-Annu_SCDPT1'!SCDPT1_06ENDIN_26</vt:lpstr>
      <vt:lpstr>'GMIC_2020-Annu_SCDPT1'!SCDPT1_06ENDIN_27</vt:lpstr>
      <vt:lpstr>'GMIC_2020-Annu_SCDPT1'!SCDPT1_06ENDIN_28</vt:lpstr>
      <vt:lpstr>'GMIC_2020-Annu_SCDPT1'!SCDPT1_06ENDIN_29</vt:lpstr>
      <vt:lpstr>'GMIC_2020-Annu_SCDPT1'!SCDPT1_06ENDIN_3</vt:lpstr>
      <vt:lpstr>'GMIC_2020-Annu_SCDPT1'!SCDPT1_06ENDIN_30</vt:lpstr>
      <vt:lpstr>'GMIC_2020-Annu_SCDPT1'!SCDPT1_06ENDIN_31</vt:lpstr>
      <vt:lpstr>'GMIC_2020-Annu_SCDPT1'!SCDPT1_06ENDIN_32</vt:lpstr>
      <vt:lpstr>'GMIC_2020-Annu_SCDPT1'!SCDPT1_06ENDIN_33</vt:lpstr>
      <vt:lpstr>'GMIC_2020-Annu_SCDPT1'!SCDPT1_06ENDIN_34</vt:lpstr>
      <vt:lpstr>'GMIC_2020-Annu_SCDPT1'!SCDPT1_06ENDIN_35</vt:lpstr>
      <vt:lpstr>'GMIC_2020-Annu_SCDPT1'!SCDPT1_06ENDIN_4</vt:lpstr>
      <vt:lpstr>'GMIC_2020-Annu_SCDPT1'!SCDPT1_06ENDIN_5</vt:lpstr>
      <vt:lpstr>'GMIC_2020-Annu_SCDPT1'!SCDPT1_06ENDIN_6.01</vt:lpstr>
      <vt:lpstr>'GMIC_2020-Annu_SCDPT1'!SCDPT1_06ENDIN_6.02</vt:lpstr>
      <vt:lpstr>'GMIC_2020-Annu_SCDPT1'!SCDPT1_06ENDIN_6.03</vt:lpstr>
      <vt:lpstr>'GMIC_2020-Annu_SCDPT1'!SCDPT1_06ENDIN_7</vt:lpstr>
      <vt:lpstr>'GMIC_2020-Annu_SCDPT1'!SCDPT1_06ENDIN_8</vt:lpstr>
      <vt:lpstr>'GMIC_2020-Annu_SCDPT1'!SCDPT1_06ENDIN_9</vt:lpstr>
      <vt:lpstr>'GMIC_2020-Annu_SCDPT1'!SCDPT1_0700000_Range</vt:lpstr>
      <vt:lpstr>'GMIC_2020-Annu_SCDPT1'!SCDPT1_0799999_10</vt:lpstr>
      <vt:lpstr>'GMIC_2020-Annu_SCDPT1'!SCDPT1_0799999_11</vt:lpstr>
      <vt:lpstr>'GMIC_2020-Annu_SCDPT1'!SCDPT1_0799999_12</vt:lpstr>
      <vt:lpstr>'GMIC_2020-Annu_SCDPT1'!SCDPT1_0799999_13</vt:lpstr>
      <vt:lpstr>'GMIC_2020-Annu_SCDPT1'!SCDPT1_0799999_14</vt:lpstr>
      <vt:lpstr>'GMIC_2020-Annu_SCDPT1'!SCDPT1_0799999_15</vt:lpstr>
      <vt:lpstr>'GMIC_2020-Annu_SCDPT1'!SCDPT1_0799999_19</vt:lpstr>
      <vt:lpstr>'GMIC_2020-Annu_SCDPT1'!SCDPT1_0799999_20</vt:lpstr>
      <vt:lpstr>'GMIC_2020-Annu_SCDPT1'!SCDPT1_0799999_7</vt:lpstr>
      <vt:lpstr>'GMIC_2020-Annu_SCDPT1'!SCDPT1_0799999_9</vt:lpstr>
      <vt:lpstr>'GMIC_2020-Annu_SCDPT1'!SCDPT1_07BEGIN_1</vt:lpstr>
      <vt:lpstr>'GMIC_2020-Annu_SCDPT1'!SCDPT1_07BEGIN_10</vt:lpstr>
      <vt:lpstr>'GMIC_2020-Annu_SCDPT1'!SCDPT1_07BEGIN_11</vt:lpstr>
      <vt:lpstr>'GMIC_2020-Annu_SCDPT1'!SCDPT1_07BEGIN_12</vt:lpstr>
      <vt:lpstr>'GMIC_2020-Annu_SCDPT1'!SCDPT1_07BEGIN_13</vt:lpstr>
      <vt:lpstr>'GMIC_2020-Annu_SCDPT1'!SCDPT1_07BEGIN_14</vt:lpstr>
      <vt:lpstr>'GMIC_2020-Annu_SCDPT1'!SCDPT1_07BEGIN_15</vt:lpstr>
      <vt:lpstr>'GMIC_2020-Annu_SCDPT1'!SCDPT1_07BEGIN_16</vt:lpstr>
      <vt:lpstr>'GMIC_2020-Annu_SCDPT1'!SCDPT1_07BEGIN_17</vt:lpstr>
      <vt:lpstr>'GMIC_2020-Annu_SCDPT1'!SCDPT1_07BEGIN_18</vt:lpstr>
      <vt:lpstr>'GMIC_2020-Annu_SCDPT1'!SCDPT1_07BEGIN_19</vt:lpstr>
      <vt:lpstr>'GMIC_2020-Annu_SCDPT1'!SCDPT1_07BEGIN_2</vt:lpstr>
      <vt:lpstr>'GMIC_2020-Annu_SCDPT1'!SCDPT1_07BEGIN_20</vt:lpstr>
      <vt:lpstr>'GMIC_2020-Annu_SCDPT1'!SCDPT1_07BEGIN_21</vt:lpstr>
      <vt:lpstr>'GMIC_2020-Annu_SCDPT1'!SCDPT1_07BEGIN_22</vt:lpstr>
      <vt:lpstr>'GMIC_2020-Annu_SCDPT1'!SCDPT1_07BEGIN_23</vt:lpstr>
      <vt:lpstr>'GMIC_2020-Annu_SCDPT1'!SCDPT1_07BEGIN_24</vt:lpstr>
      <vt:lpstr>'GMIC_2020-Annu_SCDPT1'!SCDPT1_07BEGIN_25</vt:lpstr>
      <vt:lpstr>'GMIC_2020-Annu_SCDPT1'!SCDPT1_07BEGIN_26</vt:lpstr>
      <vt:lpstr>'GMIC_2020-Annu_SCDPT1'!SCDPT1_07BEGIN_27</vt:lpstr>
      <vt:lpstr>'GMIC_2020-Annu_SCDPT1'!SCDPT1_07BEGIN_28</vt:lpstr>
      <vt:lpstr>'GMIC_2020-Annu_SCDPT1'!SCDPT1_07BEGIN_29</vt:lpstr>
      <vt:lpstr>'GMIC_2020-Annu_SCDPT1'!SCDPT1_07BEGIN_3</vt:lpstr>
      <vt:lpstr>'GMIC_2020-Annu_SCDPT1'!SCDPT1_07BEGIN_30</vt:lpstr>
      <vt:lpstr>'GMIC_2020-Annu_SCDPT1'!SCDPT1_07BEGIN_31</vt:lpstr>
      <vt:lpstr>'GMIC_2020-Annu_SCDPT1'!SCDPT1_07BEGIN_32</vt:lpstr>
      <vt:lpstr>'GMIC_2020-Annu_SCDPT1'!SCDPT1_07BEGIN_33</vt:lpstr>
      <vt:lpstr>'GMIC_2020-Annu_SCDPT1'!SCDPT1_07BEGIN_34</vt:lpstr>
      <vt:lpstr>'GMIC_2020-Annu_SCDPT1'!SCDPT1_07BEGIN_35</vt:lpstr>
      <vt:lpstr>'GMIC_2020-Annu_SCDPT1'!SCDPT1_07BEGIN_4</vt:lpstr>
      <vt:lpstr>'GMIC_2020-Annu_SCDPT1'!SCDPT1_07BEGIN_5</vt:lpstr>
      <vt:lpstr>'GMIC_2020-Annu_SCDPT1'!SCDPT1_07BEGIN_6.01</vt:lpstr>
      <vt:lpstr>'GMIC_2020-Annu_SCDPT1'!SCDPT1_07BEGIN_6.02</vt:lpstr>
      <vt:lpstr>'GMIC_2020-Annu_SCDPT1'!SCDPT1_07BEGIN_6.03</vt:lpstr>
      <vt:lpstr>'GMIC_2020-Annu_SCDPT1'!SCDPT1_07BEGIN_7</vt:lpstr>
      <vt:lpstr>'GMIC_2020-Annu_SCDPT1'!SCDPT1_07BEGIN_8</vt:lpstr>
      <vt:lpstr>'GMIC_2020-Annu_SCDPT1'!SCDPT1_07BEGIN_9</vt:lpstr>
      <vt:lpstr>'GMIC_2020-Annu_SCDPT1'!SCDPT1_07ENDIN_10</vt:lpstr>
      <vt:lpstr>'GMIC_2020-Annu_SCDPT1'!SCDPT1_07ENDIN_11</vt:lpstr>
      <vt:lpstr>'GMIC_2020-Annu_SCDPT1'!SCDPT1_07ENDIN_12</vt:lpstr>
      <vt:lpstr>'GMIC_2020-Annu_SCDPT1'!SCDPT1_07ENDIN_13</vt:lpstr>
      <vt:lpstr>'GMIC_2020-Annu_SCDPT1'!SCDPT1_07ENDIN_14</vt:lpstr>
      <vt:lpstr>'GMIC_2020-Annu_SCDPT1'!SCDPT1_07ENDIN_15</vt:lpstr>
      <vt:lpstr>'GMIC_2020-Annu_SCDPT1'!SCDPT1_07ENDIN_16</vt:lpstr>
      <vt:lpstr>'GMIC_2020-Annu_SCDPT1'!SCDPT1_07ENDIN_17</vt:lpstr>
      <vt:lpstr>'GMIC_2020-Annu_SCDPT1'!SCDPT1_07ENDIN_18</vt:lpstr>
      <vt:lpstr>'GMIC_2020-Annu_SCDPT1'!SCDPT1_07ENDIN_19</vt:lpstr>
      <vt:lpstr>'GMIC_2020-Annu_SCDPT1'!SCDPT1_07ENDIN_2</vt:lpstr>
      <vt:lpstr>'GMIC_2020-Annu_SCDPT1'!SCDPT1_07ENDIN_20</vt:lpstr>
      <vt:lpstr>'GMIC_2020-Annu_SCDPT1'!SCDPT1_07ENDIN_21</vt:lpstr>
      <vt:lpstr>'GMIC_2020-Annu_SCDPT1'!SCDPT1_07ENDIN_22</vt:lpstr>
      <vt:lpstr>'GMIC_2020-Annu_SCDPT1'!SCDPT1_07ENDIN_23</vt:lpstr>
      <vt:lpstr>'GMIC_2020-Annu_SCDPT1'!SCDPT1_07ENDIN_24</vt:lpstr>
      <vt:lpstr>'GMIC_2020-Annu_SCDPT1'!SCDPT1_07ENDIN_25</vt:lpstr>
      <vt:lpstr>'GMIC_2020-Annu_SCDPT1'!SCDPT1_07ENDIN_26</vt:lpstr>
      <vt:lpstr>'GMIC_2020-Annu_SCDPT1'!SCDPT1_07ENDIN_27</vt:lpstr>
      <vt:lpstr>'GMIC_2020-Annu_SCDPT1'!SCDPT1_07ENDIN_28</vt:lpstr>
      <vt:lpstr>'GMIC_2020-Annu_SCDPT1'!SCDPT1_07ENDIN_29</vt:lpstr>
      <vt:lpstr>'GMIC_2020-Annu_SCDPT1'!SCDPT1_07ENDIN_3</vt:lpstr>
      <vt:lpstr>'GMIC_2020-Annu_SCDPT1'!SCDPT1_07ENDIN_30</vt:lpstr>
      <vt:lpstr>'GMIC_2020-Annu_SCDPT1'!SCDPT1_07ENDIN_31</vt:lpstr>
      <vt:lpstr>'GMIC_2020-Annu_SCDPT1'!SCDPT1_07ENDIN_32</vt:lpstr>
      <vt:lpstr>'GMIC_2020-Annu_SCDPT1'!SCDPT1_07ENDIN_33</vt:lpstr>
      <vt:lpstr>'GMIC_2020-Annu_SCDPT1'!SCDPT1_07ENDIN_34</vt:lpstr>
      <vt:lpstr>'GMIC_2020-Annu_SCDPT1'!SCDPT1_07ENDIN_35</vt:lpstr>
      <vt:lpstr>'GMIC_2020-Annu_SCDPT1'!SCDPT1_07ENDIN_4</vt:lpstr>
      <vt:lpstr>'GMIC_2020-Annu_SCDPT1'!SCDPT1_07ENDIN_5</vt:lpstr>
      <vt:lpstr>'GMIC_2020-Annu_SCDPT1'!SCDPT1_07ENDIN_6.01</vt:lpstr>
      <vt:lpstr>'GMIC_2020-Annu_SCDPT1'!SCDPT1_07ENDIN_6.02</vt:lpstr>
      <vt:lpstr>'GMIC_2020-Annu_SCDPT1'!SCDPT1_07ENDIN_6.03</vt:lpstr>
      <vt:lpstr>'GMIC_2020-Annu_SCDPT1'!SCDPT1_07ENDIN_7</vt:lpstr>
      <vt:lpstr>'GMIC_2020-Annu_SCDPT1'!SCDPT1_07ENDIN_8</vt:lpstr>
      <vt:lpstr>'GMIC_2020-Annu_SCDPT1'!SCDPT1_07ENDIN_9</vt:lpstr>
      <vt:lpstr>'GMIC_2020-Annu_SCDPT1'!SCDPT1_0800000_Range</vt:lpstr>
      <vt:lpstr>'GMIC_2020-Annu_SCDPT1'!SCDPT1_0899999_10</vt:lpstr>
      <vt:lpstr>'GMIC_2020-Annu_SCDPT1'!SCDPT1_0899999_11</vt:lpstr>
      <vt:lpstr>'GMIC_2020-Annu_SCDPT1'!SCDPT1_0899999_12</vt:lpstr>
      <vt:lpstr>'GMIC_2020-Annu_SCDPT1'!SCDPT1_0899999_13</vt:lpstr>
      <vt:lpstr>'GMIC_2020-Annu_SCDPT1'!SCDPT1_0899999_14</vt:lpstr>
      <vt:lpstr>'GMIC_2020-Annu_SCDPT1'!SCDPT1_0899999_15</vt:lpstr>
      <vt:lpstr>'GMIC_2020-Annu_SCDPT1'!SCDPT1_0899999_19</vt:lpstr>
      <vt:lpstr>'GMIC_2020-Annu_SCDPT1'!SCDPT1_0899999_20</vt:lpstr>
      <vt:lpstr>'GMIC_2020-Annu_SCDPT1'!SCDPT1_0899999_7</vt:lpstr>
      <vt:lpstr>'GMIC_2020-Annu_SCDPT1'!SCDPT1_0899999_9</vt:lpstr>
      <vt:lpstr>'GMIC_2020-Annu_SCDPT1'!SCDPT1_08BEGIN_1</vt:lpstr>
      <vt:lpstr>'GMIC_2020-Annu_SCDPT1'!SCDPT1_08BEGIN_10</vt:lpstr>
      <vt:lpstr>'GMIC_2020-Annu_SCDPT1'!SCDPT1_08BEGIN_11</vt:lpstr>
      <vt:lpstr>'GMIC_2020-Annu_SCDPT1'!SCDPT1_08BEGIN_12</vt:lpstr>
      <vt:lpstr>'GMIC_2020-Annu_SCDPT1'!SCDPT1_08BEGIN_13</vt:lpstr>
      <vt:lpstr>'GMIC_2020-Annu_SCDPT1'!SCDPT1_08BEGIN_14</vt:lpstr>
      <vt:lpstr>'GMIC_2020-Annu_SCDPT1'!SCDPT1_08BEGIN_15</vt:lpstr>
      <vt:lpstr>'GMIC_2020-Annu_SCDPT1'!SCDPT1_08BEGIN_16</vt:lpstr>
      <vt:lpstr>'GMIC_2020-Annu_SCDPT1'!SCDPT1_08BEGIN_17</vt:lpstr>
      <vt:lpstr>'GMIC_2020-Annu_SCDPT1'!SCDPT1_08BEGIN_18</vt:lpstr>
      <vt:lpstr>'GMIC_2020-Annu_SCDPT1'!SCDPT1_08BEGIN_19</vt:lpstr>
      <vt:lpstr>'GMIC_2020-Annu_SCDPT1'!SCDPT1_08BEGIN_2</vt:lpstr>
      <vt:lpstr>'GMIC_2020-Annu_SCDPT1'!SCDPT1_08BEGIN_20</vt:lpstr>
      <vt:lpstr>'GMIC_2020-Annu_SCDPT1'!SCDPT1_08BEGIN_21</vt:lpstr>
      <vt:lpstr>'GMIC_2020-Annu_SCDPT1'!SCDPT1_08BEGIN_22</vt:lpstr>
      <vt:lpstr>'GMIC_2020-Annu_SCDPT1'!SCDPT1_08BEGIN_23</vt:lpstr>
      <vt:lpstr>'GMIC_2020-Annu_SCDPT1'!SCDPT1_08BEGIN_24</vt:lpstr>
      <vt:lpstr>'GMIC_2020-Annu_SCDPT1'!SCDPT1_08BEGIN_25</vt:lpstr>
      <vt:lpstr>'GMIC_2020-Annu_SCDPT1'!SCDPT1_08BEGIN_26</vt:lpstr>
      <vt:lpstr>'GMIC_2020-Annu_SCDPT1'!SCDPT1_08BEGIN_27</vt:lpstr>
      <vt:lpstr>'GMIC_2020-Annu_SCDPT1'!SCDPT1_08BEGIN_28</vt:lpstr>
      <vt:lpstr>'GMIC_2020-Annu_SCDPT1'!SCDPT1_08BEGIN_29</vt:lpstr>
      <vt:lpstr>'GMIC_2020-Annu_SCDPT1'!SCDPT1_08BEGIN_3</vt:lpstr>
      <vt:lpstr>'GMIC_2020-Annu_SCDPT1'!SCDPT1_08BEGIN_30</vt:lpstr>
      <vt:lpstr>'GMIC_2020-Annu_SCDPT1'!SCDPT1_08BEGIN_31</vt:lpstr>
      <vt:lpstr>'GMIC_2020-Annu_SCDPT1'!SCDPT1_08BEGIN_32</vt:lpstr>
      <vt:lpstr>'GMIC_2020-Annu_SCDPT1'!SCDPT1_08BEGIN_33</vt:lpstr>
      <vt:lpstr>'GMIC_2020-Annu_SCDPT1'!SCDPT1_08BEGIN_34</vt:lpstr>
      <vt:lpstr>'GMIC_2020-Annu_SCDPT1'!SCDPT1_08BEGIN_35</vt:lpstr>
      <vt:lpstr>'GMIC_2020-Annu_SCDPT1'!SCDPT1_08BEGIN_4</vt:lpstr>
      <vt:lpstr>'GMIC_2020-Annu_SCDPT1'!SCDPT1_08BEGIN_5</vt:lpstr>
      <vt:lpstr>'GMIC_2020-Annu_SCDPT1'!SCDPT1_08BEGIN_6.01</vt:lpstr>
      <vt:lpstr>'GMIC_2020-Annu_SCDPT1'!SCDPT1_08BEGIN_6.02</vt:lpstr>
      <vt:lpstr>'GMIC_2020-Annu_SCDPT1'!SCDPT1_08BEGIN_6.03</vt:lpstr>
      <vt:lpstr>'GMIC_2020-Annu_SCDPT1'!SCDPT1_08BEGIN_7</vt:lpstr>
      <vt:lpstr>'GMIC_2020-Annu_SCDPT1'!SCDPT1_08BEGIN_8</vt:lpstr>
      <vt:lpstr>'GMIC_2020-Annu_SCDPT1'!SCDPT1_08BEGIN_9</vt:lpstr>
      <vt:lpstr>'GMIC_2020-Annu_SCDPT1'!SCDPT1_08ENDIN_10</vt:lpstr>
      <vt:lpstr>'GMIC_2020-Annu_SCDPT1'!SCDPT1_08ENDIN_11</vt:lpstr>
      <vt:lpstr>'GMIC_2020-Annu_SCDPT1'!SCDPT1_08ENDIN_12</vt:lpstr>
      <vt:lpstr>'GMIC_2020-Annu_SCDPT1'!SCDPT1_08ENDIN_13</vt:lpstr>
      <vt:lpstr>'GMIC_2020-Annu_SCDPT1'!SCDPT1_08ENDIN_14</vt:lpstr>
      <vt:lpstr>'GMIC_2020-Annu_SCDPT1'!SCDPT1_08ENDIN_15</vt:lpstr>
      <vt:lpstr>'GMIC_2020-Annu_SCDPT1'!SCDPT1_08ENDIN_16</vt:lpstr>
      <vt:lpstr>'GMIC_2020-Annu_SCDPT1'!SCDPT1_08ENDIN_17</vt:lpstr>
      <vt:lpstr>'GMIC_2020-Annu_SCDPT1'!SCDPT1_08ENDIN_18</vt:lpstr>
      <vt:lpstr>'GMIC_2020-Annu_SCDPT1'!SCDPT1_08ENDIN_19</vt:lpstr>
      <vt:lpstr>'GMIC_2020-Annu_SCDPT1'!SCDPT1_08ENDIN_2</vt:lpstr>
      <vt:lpstr>'GMIC_2020-Annu_SCDPT1'!SCDPT1_08ENDIN_20</vt:lpstr>
      <vt:lpstr>'GMIC_2020-Annu_SCDPT1'!SCDPT1_08ENDIN_21</vt:lpstr>
      <vt:lpstr>'GMIC_2020-Annu_SCDPT1'!SCDPT1_08ENDIN_22</vt:lpstr>
      <vt:lpstr>'GMIC_2020-Annu_SCDPT1'!SCDPT1_08ENDIN_23</vt:lpstr>
      <vt:lpstr>'GMIC_2020-Annu_SCDPT1'!SCDPT1_08ENDIN_24</vt:lpstr>
      <vt:lpstr>'GMIC_2020-Annu_SCDPT1'!SCDPT1_08ENDIN_25</vt:lpstr>
      <vt:lpstr>'GMIC_2020-Annu_SCDPT1'!SCDPT1_08ENDIN_26</vt:lpstr>
      <vt:lpstr>'GMIC_2020-Annu_SCDPT1'!SCDPT1_08ENDIN_27</vt:lpstr>
      <vt:lpstr>'GMIC_2020-Annu_SCDPT1'!SCDPT1_08ENDIN_28</vt:lpstr>
      <vt:lpstr>'GMIC_2020-Annu_SCDPT1'!SCDPT1_08ENDIN_29</vt:lpstr>
      <vt:lpstr>'GMIC_2020-Annu_SCDPT1'!SCDPT1_08ENDIN_3</vt:lpstr>
      <vt:lpstr>'GMIC_2020-Annu_SCDPT1'!SCDPT1_08ENDIN_30</vt:lpstr>
      <vt:lpstr>'GMIC_2020-Annu_SCDPT1'!SCDPT1_08ENDIN_31</vt:lpstr>
      <vt:lpstr>'GMIC_2020-Annu_SCDPT1'!SCDPT1_08ENDIN_32</vt:lpstr>
      <vt:lpstr>'GMIC_2020-Annu_SCDPT1'!SCDPT1_08ENDIN_33</vt:lpstr>
      <vt:lpstr>'GMIC_2020-Annu_SCDPT1'!SCDPT1_08ENDIN_34</vt:lpstr>
      <vt:lpstr>'GMIC_2020-Annu_SCDPT1'!SCDPT1_08ENDIN_35</vt:lpstr>
      <vt:lpstr>'GMIC_2020-Annu_SCDPT1'!SCDPT1_08ENDIN_4</vt:lpstr>
      <vt:lpstr>'GMIC_2020-Annu_SCDPT1'!SCDPT1_08ENDIN_5</vt:lpstr>
      <vt:lpstr>'GMIC_2020-Annu_SCDPT1'!SCDPT1_08ENDIN_6.01</vt:lpstr>
      <vt:lpstr>'GMIC_2020-Annu_SCDPT1'!SCDPT1_08ENDIN_6.02</vt:lpstr>
      <vt:lpstr>'GMIC_2020-Annu_SCDPT1'!SCDPT1_08ENDIN_6.03</vt:lpstr>
      <vt:lpstr>'GMIC_2020-Annu_SCDPT1'!SCDPT1_08ENDIN_7</vt:lpstr>
      <vt:lpstr>'GMIC_2020-Annu_SCDPT1'!SCDPT1_08ENDIN_8</vt:lpstr>
      <vt:lpstr>'GMIC_2020-Annu_SCDPT1'!SCDPT1_08ENDIN_9</vt:lpstr>
      <vt:lpstr>'GMIC_2020-Annu_SCDPT1'!SCDPT1_0900000_Range</vt:lpstr>
      <vt:lpstr>'GMIC_2020-Annu_SCDPT1'!SCDPT1_0999999_10</vt:lpstr>
      <vt:lpstr>'GMIC_2020-Annu_SCDPT1'!SCDPT1_0999999_11</vt:lpstr>
      <vt:lpstr>'GMIC_2020-Annu_SCDPT1'!SCDPT1_0999999_12</vt:lpstr>
      <vt:lpstr>'GMIC_2020-Annu_SCDPT1'!SCDPT1_0999999_13</vt:lpstr>
      <vt:lpstr>'GMIC_2020-Annu_SCDPT1'!SCDPT1_0999999_14</vt:lpstr>
      <vt:lpstr>'GMIC_2020-Annu_SCDPT1'!SCDPT1_0999999_15</vt:lpstr>
      <vt:lpstr>'GMIC_2020-Annu_SCDPT1'!SCDPT1_0999999_19</vt:lpstr>
      <vt:lpstr>'GMIC_2020-Annu_SCDPT1'!SCDPT1_0999999_20</vt:lpstr>
      <vt:lpstr>'GMIC_2020-Annu_SCDPT1'!SCDPT1_0999999_7</vt:lpstr>
      <vt:lpstr>'GMIC_2020-Annu_SCDPT1'!SCDPT1_0999999_9</vt:lpstr>
      <vt:lpstr>'GMIC_2020-Annu_SCDPT1'!SCDPT1_09BEGIN_1</vt:lpstr>
      <vt:lpstr>'GMIC_2020-Annu_SCDPT1'!SCDPT1_09BEGIN_10</vt:lpstr>
      <vt:lpstr>'GMIC_2020-Annu_SCDPT1'!SCDPT1_09BEGIN_11</vt:lpstr>
      <vt:lpstr>'GMIC_2020-Annu_SCDPT1'!SCDPT1_09BEGIN_12</vt:lpstr>
      <vt:lpstr>'GMIC_2020-Annu_SCDPT1'!SCDPT1_09BEGIN_13</vt:lpstr>
      <vt:lpstr>'GMIC_2020-Annu_SCDPT1'!SCDPT1_09BEGIN_14</vt:lpstr>
      <vt:lpstr>'GMIC_2020-Annu_SCDPT1'!SCDPT1_09BEGIN_15</vt:lpstr>
      <vt:lpstr>'GMIC_2020-Annu_SCDPT1'!SCDPT1_09BEGIN_16</vt:lpstr>
      <vt:lpstr>'GMIC_2020-Annu_SCDPT1'!SCDPT1_09BEGIN_17</vt:lpstr>
      <vt:lpstr>'GMIC_2020-Annu_SCDPT1'!SCDPT1_09BEGIN_18</vt:lpstr>
      <vt:lpstr>'GMIC_2020-Annu_SCDPT1'!SCDPT1_09BEGIN_19</vt:lpstr>
      <vt:lpstr>'GMIC_2020-Annu_SCDPT1'!SCDPT1_09BEGIN_2</vt:lpstr>
      <vt:lpstr>'GMIC_2020-Annu_SCDPT1'!SCDPT1_09BEGIN_20</vt:lpstr>
      <vt:lpstr>'GMIC_2020-Annu_SCDPT1'!SCDPT1_09BEGIN_21</vt:lpstr>
      <vt:lpstr>'GMIC_2020-Annu_SCDPT1'!SCDPT1_09BEGIN_22</vt:lpstr>
      <vt:lpstr>'GMIC_2020-Annu_SCDPT1'!SCDPT1_09BEGIN_23</vt:lpstr>
      <vt:lpstr>'GMIC_2020-Annu_SCDPT1'!SCDPT1_09BEGIN_24</vt:lpstr>
      <vt:lpstr>'GMIC_2020-Annu_SCDPT1'!SCDPT1_09BEGIN_25</vt:lpstr>
      <vt:lpstr>'GMIC_2020-Annu_SCDPT1'!SCDPT1_09BEGIN_26</vt:lpstr>
      <vt:lpstr>'GMIC_2020-Annu_SCDPT1'!SCDPT1_09BEGIN_27</vt:lpstr>
      <vt:lpstr>'GMIC_2020-Annu_SCDPT1'!SCDPT1_09BEGIN_28</vt:lpstr>
      <vt:lpstr>'GMIC_2020-Annu_SCDPT1'!SCDPT1_09BEGIN_29</vt:lpstr>
      <vt:lpstr>'GMIC_2020-Annu_SCDPT1'!SCDPT1_09BEGIN_3</vt:lpstr>
      <vt:lpstr>'GMIC_2020-Annu_SCDPT1'!SCDPT1_09BEGIN_30</vt:lpstr>
      <vt:lpstr>'GMIC_2020-Annu_SCDPT1'!SCDPT1_09BEGIN_31</vt:lpstr>
      <vt:lpstr>'GMIC_2020-Annu_SCDPT1'!SCDPT1_09BEGIN_32</vt:lpstr>
      <vt:lpstr>'GMIC_2020-Annu_SCDPT1'!SCDPT1_09BEGIN_33</vt:lpstr>
      <vt:lpstr>'GMIC_2020-Annu_SCDPT1'!SCDPT1_09BEGIN_34</vt:lpstr>
      <vt:lpstr>'GMIC_2020-Annu_SCDPT1'!SCDPT1_09BEGIN_35</vt:lpstr>
      <vt:lpstr>'GMIC_2020-Annu_SCDPT1'!SCDPT1_09BEGIN_4</vt:lpstr>
      <vt:lpstr>'GMIC_2020-Annu_SCDPT1'!SCDPT1_09BEGIN_5</vt:lpstr>
      <vt:lpstr>'GMIC_2020-Annu_SCDPT1'!SCDPT1_09BEGIN_6.01</vt:lpstr>
      <vt:lpstr>'GMIC_2020-Annu_SCDPT1'!SCDPT1_09BEGIN_6.02</vt:lpstr>
      <vt:lpstr>'GMIC_2020-Annu_SCDPT1'!SCDPT1_09BEGIN_6.03</vt:lpstr>
      <vt:lpstr>'GMIC_2020-Annu_SCDPT1'!SCDPT1_09BEGIN_7</vt:lpstr>
      <vt:lpstr>'GMIC_2020-Annu_SCDPT1'!SCDPT1_09BEGIN_8</vt:lpstr>
      <vt:lpstr>'GMIC_2020-Annu_SCDPT1'!SCDPT1_09BEGIN_9</vt:lpstr>
      <vt:lpstr>'GMIC_2020-Annu_SCDPT1'!SCDPT1_09ENDIN_10</vt:lpstr>
      <vt:lpstr>'GMIC_2020-Annu_SCDPT1'!SCDPT1_09ENDIN_11</vt:lpstr>
      <vt:lpstr>'GMIC_2020-Annu_SCDPT1'!SCDPT1_09ENDIN_12</vt:lpstr>
      <vt:lpstr>'GMIC_2020-Annu_SCDPT1'!SCDPT1_09ENDIN_13</vt:lpstr>
      <vt:lpstr>'GMIC_2020-Annu_SCDPT1'!SCDPT1_09ENDIN_14</vt:lpstr>
      <vt:lpstr>'GMIC_2020-Annu_SCDPT1'!SCDPT1_09ENDIN_15</vt:lpstr>
      <vt:lpstr>'GMIC_2020-Annu_SCDPT1'!SCDPT1_09ENDIN_16</vt:lpstr>
      <vt:lpstr>'GMIC_2020-Annu_SCDPT1'!SCDPT1_09ENDIN_17</vt:lpstr>
      <vt:lpstr>'GMIC_2020-Annu_SCDPT1'!SCDPT1_09ENDIN_18</vt:lpstr>
      <vt:lpstr>'GMIC_2020-Annu_SCDPT1'!SCDPT1_09ENDIN_19</vt:lpstr>
      <vt:lpstr>'GMIC_2020-Annu_SCDPT1'!SCDPT1_09ENDIN_2</vt:lpstr>
      <vt:lpstr>'GMIC_2020-Annu_SCDPT1'!SCDPT1_09ENDIN_20</vt:lpstr>
      <vt:lpstr>'GMIC_2020-Annu_SCDPT1'!SCDPT1_09ENDIN_21</vt:lpstr>
      <vt:lpstr>'GMIC_2020-Annu_SCDPT1'!SCDPT1_09ENDIN_22</vt:lpstr>
      <vt:lpstr>'GMIC_2020-Annu_SCDPT1'!SCDPT1_09ENDIN_23</vt:lpstr>
      <vt:lpstr>'GMIC_2020-Annu_SCDPT1'!SCDPT1_09ENDIN_24</vt:lpstr>
      <vt:lpstr>'GMIC_2020-Annu_SCDPT1'!SCDPT1_09ENDIN_25</vt:lpstr>
      <vt:lpstr>'GMIC_2020-Annu_SCDPT1'!SCDPT1_09ENDIN_26</vt:lpstr>
      <vt:lpstr>'GMIC_2020-Annu_SCDPT1'!SCDPT1_09ENDIN_27</vt:lpstr>
      <vt:lpstr>'GMIC_2020-Annu_SCDPT1'!SCDPT1_09ENDIN_28</vt:lpstr>
      <vt:lpstr>'GMIC_2020-Annu_SCDPT1'!SCDPT1_09ENDIN_29</vt:lpstr>
      <vt:lpstr>'GMIC_2020-Annu_SCDPT1'!SCDPT1_09ENDIN_3</vt:lpstr>
      <vt:lpstr>'GMIC_2020-Annu_SCDPT1'!SCDPT1_09ENDIN_30</vt:lpstr>
      <vt:lpstr>'GMIC_2020-Annu_SCDPT1'!SCDPT1_09ENDIN_31</vt:lpstr>
      <vt:lpstr>'GMIC_2020-Annu_SCDPT1'!SCDPT1_09ENDIN_32</vt:lpstr>
      <vt:lpstr>'GMIC_2020-Annu_SCDPT1'!SCDPT1_09ENDIN_33</vt:lpstr>
      <vt:lpstr>'GMIC_2020-Annu_SCDPT1'!SCDPT1_09ENDIN_34</vt:lpstr>
      <vt:lpstr>'GMIC_2020-Annu_SCDPT1'!SCDPT1_09ENDIN_35</vt:lpstr>
      <vt:lpstr>'GMIC_2020-Annu_SCDPT1'!SCDPT1_09ENDIN_4</vt:lpstr>
      <vt:lpstr>'GMIC_2020-Annu_SCDPT1'!SCDPT1_09ENDIN_5</vt:lpstr>
      <vt:lpstr>'GMIC_2020-Annu_SCDPT1'!SCDPT1_09ENDIN_6.01</vt:lpstr>
      <vt:lpstr>'GMIC_2020-Annu_SCDPT1'!SCDPT1_09ENDIN_6.02</vt:lpstr>
      <vt:lpstr>'GMIC_2020-Annu_SCDPT1'!SCDPT1_09ENDIN_6.03</vt:lpstr>
      <vt:lpstr>'GMIC_2020-Annu_SCDPT1'!SCDPT1_09ENDIN_7</vt:lpstr>
      <vt:lpstr>'GMIC_2020-Annu_SCDPT1'!SCDPT1_09ENDIN_8</vt:lpstr>
      <vt:lpstr>'GMIC_2020-Annu_SCDPT1'!SCDPT1_09ENDIN_9</vt:lpstr>
      <vt:lpstr>'GMIC_2020-Annu_SCDPT1'!SCDPT1_1099999_10</vt:lpstr>
      <vt:lpstr>'GMIC_2020-Annu_SCDPT1'!SCDPT1_1099999_11</vt:lpstr>
      <vt:lpstr>'GMIC_2020-Annu_SCDPT1'!SCDPT1_1099999_12</vt:lpstr>
      <vt:lpstr>'GMIC_2020-Annu_SCDPT1'!SCDPT1_1099999_13</vt:lpstr>
      <vt:lpstr>'GMIC_2020-Annu_SCDPT1'!SCDPT1_1099999_14</vt:lpstr>
      <vt:lpstr>'GMIC_2020-Annu_SCDPT1'!SCDPT1_1099999_15</vt:lpstr>
      <vt:lpstr>'GMIC_2020-Annu_SCDPT1'!SCDPT1_1099999_19</vt:lpstr>
      <vt:lpstr>'GMIC_2020-Annu_SCDPT1'!SCDPT1_1099999_20</vt:lpstr>
      <vt:lpstr>'GMIC_2020-Annu_SCDPT1'!SCDPT1_1099999_7</vt:lpstr>
      <vt:lpstr>'GMIC_2020-Annu_SCDPT1'!SCDPT1_1099999_9</vt:lpstr>
      <vt:lpstr>'GMIC_2020-Annu_SCDPT1'!SCDPT1_1100000_Range</vt:lpstr>
      <vt:lpstr>'GMIC_2020-Annu_SCDPT1'!SCDPT1_1100001_1</vt:lpstr>
      <vt:lpstr>'GMIC_2020-Annu_SCDPT1'!SCDPT1_1100001_10</vt:lpstr>
      <vt:lpstr>'GMIC_2020-Annu_SCDPT1'!SCDPT1_1100001_11</vt:lpstr>
      <vt:lpstr>'GMIC_2020-Annu_SCDPT1'!SCDPT1_1100001_12</vt:lpstr>
      <vt:lpstr>'GMIC_2020-Annu_SCDPT1'!SCDPT1_1100001_13</vt:lpstr>
      <vt:lpstr>'GMIC_2020-Annu_SCDPT1'!SCDPT1_1100001_14</vt:lpstr>
      <vt:lpstr>'GMIC_2020-Annu_SCDPT1'!SCDPT1_1100001_15</vt:lpstr>
      <vt:lpstr>'GMIC_2020-Annu_SCDPT1'!SCDPT1_1100001_16</vt:lpstr>
      <vt:lpstr>'GMIC_2020-Annu_SCDPT1'!SCDPT1_1100001_17</vt:lpstr>
      <vt:lpstr>'GMIC_2020-Annu_SCDPT1'!SCDPT1_1100001_18</vt:lpstr>
      <vt:lpstr>'GMIC_2020-Annu_SCDPT1'!SCDPT1_1100001_19</vt:lpstr>
      <vt:lpstr>'GMIC_2020-Annu_SCDPT1'!SCDPT1_1100001_2</vt:lpstr>
      <vt:lpstr>'GMIC_2020-Annu_SCDPT1'!SCDPT1_1100001_20</vt:lpstr>
      <vt:lpstr>'GMIC_2020-Annu_SCDPT1'!SCDPT1_1100001_21</vt:lpstr>
      <vt:lpstr>'GMIC_2020-Annu_SCDPT1'!SCDPT1_1100001_22</vt:lpstr>
      <vt:lpstr>'GMIC_2020-Annu_SCDPT1'!SCDPT1_1100001_23</vt:lpstr>
      <vt:lpstr>'GMIC_2020-Annu_SCDPT1'!SCDPT1_1100001_24</vt:lpstr>
      <vt:lpstr>'GMIC_2020-Annu_SCDPT1'!SCDPT1_1100001_25</vt:lpstr>
      <vt:lpstr>'GMIC_2020-Annu_SCDPT1'!SCDPT1_1100001_27</vt:lpstr>
      <vt:lpstr>'GMIC_2020-Annu_SCDPT1'!SCDPT1_1100001_28</vt:lpstr>
      <vt:lpstr>'GMIC_2020-Annu_SCDPT1'!SCDPT1_1100001_29</vt:lpstr>
      <vt:lpstr>'GMIC_2020-Annu_SCDPT1'!SCDPT1_1100001_3</vt:lpstr>
      <vt:lpstr>'GMIC_2020-Annu_SCDPT1'!SCDPT1_1100001_30</vt:lpstr>
      <vt:lpstr>'GMIC_2020-Annu_SCDPT1'!SCDPT1_1100001_31</vt:lpstr>
      <vt:lpstr>'GMIC_2020-Annu_SCDPT1'!SCDPT1_1100001_32</vt:lpstr>
      <vt:lpstr>'GMIC_2020-Annu_SCDPT1'!SCDPT1_1100001_33</vt:lpstr>
      <vt:lpstr>'GMIC_2020-Annu_SCDPT1'!SCDPT1_1100001_34</vt:lpstr>
      <vt:lpstr>'GMIC_2020-Annu_SCDPT1'!SCDPT1_1100001_35</vt:lpstr>
      <vt:lpstr>'GMIC_2020-Annu_SCDPT1'!SCDPT1_1100001_4</vt:lpstr>
      <vt:lpstr>'GMIC_2020-Annu_SCDPT1'!SCDPT1_1100001_5</vt:lpstr>
      <vt:lpstr>'GMIC_2020-Annu_SCDPT1'!SCDPT1_1100001_6.01</vt:lpstr>
      <vt:lpstr>'GMIC_2020-Annu_SCDPT1'!SCDPT1_1100001_6.02</vt:lpstr>
      <vt:lpstr>'GMIC_2020-Annu_SCDPT1'!SCDPT1_1100001_6.03</vt:lpstr>
      <vt:lpstr>'GMIC_2020-Annu_SCDPT1'!SCDPT1_1100001_7</vt:lpstr>
      <vt:lpstr>'GMIC_2020-Annu_SCDPT1'!SCDPT1_1100001_8</vt:lpstr>
      <vt:lpstr>'GMIC_2020-Annu_SCDPT1'!SCDPT1_1100001_9</vt:lpstr>
      <vt:lpstr>'GMIC_2020-Annu_SCDPT1'!SCDPT1_1199999_10</vt:lpstr>
      <vt:lpstr>'GMIC_2020-Annu_SCDPT1'!SCDPT1_1199999_11</vt:lpstr>
      <vt:lpstr>'GMIC_2020-Annu_SCDPT1'!SCDPT1_1199999_12</vt:lpstr>
      <vt:lpstr>'GMIC_2020-Annu_SCDPT1'!SCDPT1_1199999_13</vt:lpstr>
      <vt:lpstr>'GMIC_2020-Annu_SCDPT1'!SCDPT1_1199999_14</vt:lpstr>
      <vt:lpstr>'GMIC_2020-Annu_SCDPT1'!SCDPT1_1199999_15</vt:lpstr>
      <vt:lpstr>'GMIC_2020-Annu_SCDPT1'!SCDPT1_1199999_19</vt:lpstr>
      <vt:lpstr>'GMIC_2020-Annu_SCDPT1'!SCDPT1_1199999_20</vt:lpstr>
      <vt:lpstr>'GMIC_2020-Annu_SCDPT1'!SCDPT1_1199999_7</vt:lpstr>
      <vt:lpstr>'GMIC_2020-Annu_SCDPT1'!SCDPT1_1199999_9</vt:lpstr>
      <vt:lpstr>'GMIC_2020-Annu_SCDPT1'!SCDPT1_11BEGIN_1</vt:lpstr>
      <vt:lpstr>'GMIC_2020-Annu_SCDPT1'!SCDPT1_11BEGIN_10</vt:lpstr>
      <vt:lpstr>'GMIC_2020-Annu_SCDPT1'!SCDPT1_11BEGIN_11</vt:lpstr>
      <vt:lpstr>'GMIC_2020-Annu_SCDPT1'!SCDPT1_11BEGIN_12</vt:lpstr>
      <vt:lpstr>'GMIC_2020-Annu_SCDPT1'!SCDPT1_11BEGIN_13</vt:lpstr>
      <vt:lpstr>'GMIC_2020-Annu_SCDPT1'!SCDPT1_11BEGIN_14</vt:lpstr>
      <vt:lpstr>'GMIC_2020-Annu_SCDPT1'!SCDPT1_11BEGIN_15</vt:lpstr>
      <vt:lpstr>'GMIC_2020-Annu_SCDPT1'!SCDPT1_11BEGIN_16</vt:lpstr>
      <vt:lpstr>'GMIC_2020-Annu_SCDPT1'!SCDPT1_11BEGIN_17</vt:lpstr>
      <vt:lpstr>'GMIC_2020-Annu_SCDPT1'!SCDPT1_11BEGIN_18</vt:lpstr>
      <vt:lpstr>'GMIC_2020-Annu_SCDPT1'!SCDPT1_11BEGIN_19</vt:lpstr>
      <vt:lpstr>'GMIC_2020-Annu_SCDPT1'!SCDPT1_11BEGIN_2</vt:lpstr>
      <vt:lpstr>'GMIC_2020-Annu_SCDPT1'!SCDPT1_11BEGIN_20</vt:lpstr>
      <vt:lpstr>'GMIC_2020-Annu_SCDPT1'!SCDPT1_11BEGIN_21</vt:lpstr>
      <vt:lpstr>'GMIC_2020-Annu_SCDPT1'!SCDPT1_11BEGIN_22</vt:lpstr>
      <vt:lpstr>'GMIC_2020-Annu_SCDPT1'!SCDPT1_11BEGIN_23</vt:lpstr>
      <vt:lpstr>'GMIC_2020-Annu_SCDPT1'!SCDPT1_11BEGIN_24</vt:lpstr>
      <vt:lpstr>'GMIC_2020-Annu_SCDPT1'!SCDPT1_11BEGIN_25</vt:lpstr>
      <vt:lpstr>'GMIC_2020-Annu_SCDPT1'!SCDPT1_11BEGIN_26</vt:lpstr>
      <vt:lpstr>'GMIC_2020-Annu_SCDPT1'!SCDPT1_11BEGIN_27</vt:lpstr>
      <vt:lpstr>'GMIC_2020-Annu_SCDPT1'!SCDPT1_11BEGIN_28</vt:lpstr>
      <vt:lpstr>'GMIC_2020-Annu_SCDPT1'!SCDPT1_11BEGIN_29</vt:lpstr>
      <vt:lpstr>'GMIC_2020-Annu_SCDPT1'!SCDPT1_11BEGIN_3</vt:lpstr>
      <vt:lpstr>'GMIC_2020-Annu_SCDPT1'!SCDPT1_11BEGIN_30</vt:lpstr>
      <vt:lpstr>'GMIC_2020-Annu_SCDPT1'!SCDPT1_11BEGIN_31</vt:lpstr>
      <vt:lpstr>'GMIC_2020-Annu_SCDPT1'!SCDPT1_11BEGIN_32</vt:lpstr>
      <vt:lpstr>'GMIC_2020-Annu_SCDPT1'!SCDPT1_11BEGIN_33</vt:lpstr>
      <vt:lpstr>'GMIC_2020-Annu_SCDPT1'!SCDPT1_11BEGIN_34</vt:lpstr>
      <vt:lpstr>'GMIC_2020-Annu_SCDPT1'!SCDPT1_11BEGIN_35</vt:lpstr>
      <vt:lpstr>'GMIC_2020-Annu_SCDPT1'!SCDPT1_11BEGIN_4</vt:lpstr>
      <vt:lpstr>'GMIC_2020-Annu_SCDPT1'!SCDPT1_11BEGIN_5</vt:lpstr>
      <vt:lpstr>'GMIC_2020-Annu_SCDPT1'!SCDPT1_11BEGIN_6.01</vt:lpstr>
      <vt:lpstr>'GMIC_2020-Annu_SCDPT1'!SCDPT1_11BEGIN_6.02</vt:lpstr>
      <vt:lpstr>'GMIC_2020-Annu_SCDPT1'!SCDPT1_11BEGIN_6.03</vt:lpstr>
      <vt:lpstr>'GMIC_2020-Annu_SCDPT1'!SCDPT1_11BEGIN_7</vt:lpstr>
      <vt:lpstr>'GMIC_2020-Annu_SCDPT1'!SCDPT1_11BEGIN_8</vt:lpstr>
      <vt:lpstr>'GMIC_2020-Annu_SCDPT1'!SCDPT1_11BEGIN_9</vt:lpstr>
      <vt:lpstr>'GMIC_2020-Annu_SCDPT1'!SCDPT1_11ENDIN_10</vt:lpstr>
      <vt:lpstr>'GMIC_2020-Annu_SCDPT1'!SCDPT1_11ENDIN_11</vt:lpstr>
      <vt:lpstr>'GMIC_2020-Annu_SCDPT1'!SCDPT1_11ENDIN_12</vt:lpstr>
      <vt:lpstr>'GMIC_2020-Annu_SCDPT1'!SCDPT1_11ENDIN_13</vt:lpstr>
      <vt:lpstr>'GMIC_2020-Annu_SCDPT1'!SCDPT1_11ENDIN_14</vt:lpstr>
      <vt:lpstr>'GMIC_2020-Annu_SCDPT1'!SCDPT1_11ENDIN_15</vt:lpstr>
      <vt:lpstr>'GMIC_2020-Annu_SCDPT1'!SCDPT1_11ENDIN_16</vt:lpstr>
      <vt:lpstr>'GMIC_2020-Annu_SCDPT1'!SCDPT1_11ENDIN_17</vt:lpstr>
      <vt:lpstr>'GMIC_2020-Annu_SCDPT1'!SCDPT1_11ENDIN_18</vt:lpstr>
      <vt:lpstr>'GMIC_2020-Annu_SCDPT1'!SCDPT1_11ENDIN_19</vt:lpstr>
      <vt:lpstr>'GMIC_2020-Annu_SCDPT1'!SCDPT1_11ENDIN_2</vt:lpstr>
      <vt:lpstr>'GMIC_2020-Annu_SCDPT1'!SCDPT1_11ENDIN_20</vt:lpstr>
      <vt:lpstr>'GMIC_2020-Annu_SCDPT1'!SCDPT1_11ENDIN_21</vt:lpstr>
      <vt:lpstr>'GMIC_2020-Annu_SCDPT1'!SCDPT1_11ENDIN_22</vt:lpstr>
      <vt:lpstr>'GMIC_2020-Annu_SCDPT1'!SCDPT1_11ENDIN_23</vt:lpstr>
      <vt:lpstr>'GMIC_2020-Annu_SCDPT1'!SCDPT1_11ENDIN_24</vt:lpstr>
      <vt:lpstr>'GMIC_2020-Annu_SCDPT1'!SCDPT1_11ENDIN_25</vt:lpstr>
      <vt:lpstr>'GMIC_2020-Annu_SCDPT1'!SCDPT1_11ENDIN_26</vt:lpstr>
      <vt:lpstr>'GMIC_2020-Annu_SCDPT1'!SCDPT1_11ENDIN_27</vt:lpstr>
      <vt:lpstr>'GMIC_2020-Annu_SCDPT1'!SCDPT1_11ENDIN_28</vt:lpstr>
      <vt:lpstr>'GMIC_2020-Annu_SCDPT1'!SCDPT1_11ENDIN_29</vt:lpstr>
      <vt:lpstr>'GMIC_2020-Annu_SCDPT1'!SCDPT1_11ENDIN_3</vt:lpstr>
      <vt:lpstr>'GMIC_2020-Annu_SCDPT1'!SCDPT1_11ENDIN_30</vt:lpstr>
      <vt:lpstr>'GMIC_2020-Annu_SCDPT1'!SCDPT1_11ENDIN_31</vt:lpstr>
      <vt:lpstr>'GMIC_2020-Annu_SCDPT1'!SCDPT1_11ENDIN_32</vt:lpstr>
      <vt:lpstr>'GMIC_2020-Annu_SCDPT1'!SCDPT1_11ENDIN_33</vt:lpstr>
      <vt:lpstr>'GMIC_2020-Annu_SCDPT1'!SCDPT1_11ENDIN_34</vt:lpstr>
      <vt:lpstr>'GMIC_2020-Annu_SCDPT1'!SCDPT1_11ENDIN_35</vt:lpstr>
      <vt:lpstr>'GMIC_2020-Annu_SCDPT1'!SCDPT1_11ENDIN_4</vt:lpstr>
      <vt:lpstr>'GMIC_2020-Annu_SCDPT1'!SCDPT1_11ENDIN_5</vt:lpstr>
      <vt:lpstr>'GMIC_2020-Annu_SCDPT1'!SCDPT1_11ENDIN_6.01</vt:lpstr>
      <vt:lpstr>'GMIC_2020-Annu_SCDPT1'!SCDPT1_11ENDIN_6.02</vt:lpstr>
      <vt:lpstr>'GMIC_2020-Annu_SCDPT1'!SCDPT1_11ENDIN_6.03</vt:lpstr>
      <vt:lpstr>'GMIC_2020-Annu_SCDPT1'!SCDPT1_11ENDIN_7</vt:lpstr>
      <vt:lpstr>'GMIC_2020-Annu_SCDPT1'!SCDPT1_11ENDIN_8</vt:lpstr>
      <vt:lpstr>'GMIC_2020-Annu_SCDPT1'!SCDPT1_11ENDIN_9</vt:lpstr>
      <vt:lpstr>'GMIC_2020-Annu_SCDPT1'!SCDPT1_1200000_Range</vt:lpstr>
      <vt:lpstr>'GMIC_2020-Annu_SCDPT1'!SCDPT1_1299999_10</vt:lpstr>
      <vt:lpstr>'GMIC_2020-Annu_SCDPT1'!SCDPT1_1299999_11</vt:lpstr>
      <vt:lpstr>'GMIC_2020-Annu_SCDPT1'!SCDPT1_1299999_12</vt:lpstr>
      <vt:lpstr>'GMIC_2020-Annu_SCDPT1'!SCDPT1_1299999_13</vt:lpstr>
      <vt:lpstr>'GMIC_2020-Annu_SCDPT1'!SCDPT1_1299999_14</vt:lpstr>
      <vt:lpstr>'GMIC_2020-Annu_SCDPT1'!SCDPT1_1299999_15</vt:lpstr>
      <vt:lpstr>'GMIC_2020-Annu_SCDPT1'!SCDPT1_1299999_19</vt:lpstr>
      <vt:lpstr>'GMIC_2020-Annu_SCDPT1'!SCDPT1_1299999_20</vt:lpstr>
      <vt:lpstr>'GMIC_2020-Annu_SCDPT1'!SCDPT1_1299999_7</vt:lpstr>
      <vt:lpstr>'GMIC_2020-Annu_SCDPT1'!SCDPT1_1299999_9</vt:lpstr>
      <vt:lpstr>'GMIC_2020-Annu_SCDPT1'!SCDPT1_12BEGIN_1</vt:lpstr>
      <vt:lpstr>'GMIC_2020-Annu_SCDPT1'!SCDPT1_12BEGIN_10</vt:lpstr>
      <vt:lpstr>'GMIC_2020-Annu_SCDPT1'!SCDPT1_12BEGIN_11</vt:lpstr>
      <vt:lpstr>'GMIC_2020-Annu_SCDPT1'!SCDPT1_12BEGIN_12</vt:lpstr>
      <vt:lpstr>'GMIC_2020-Annu_SCDPT1'!SCDPT1_12BEGIN_13</vt:lpstr>
      <vt:lpstr>'GMIC_2020-Annu_SCDPT1'!SCDPT1_12BEGIN_14</vt:lpstr>
      <vt:lpstr>'GMIC_2020-Annu_SCDPT1'!SCDPT1_12BEGIN_15</vt:lpstr>
      <vt:lpstr>'GMIC_2020-Annu_SCDPT1'!SCDPT1_12BEGIN_16</vt:lpstr>
      <vt:lpstr>'GMIC_2020-Annu_SCDPT1'!SCDPT1_12BEGIN_17</vt:lpstr>
      <vt:lpstr>'GMIC_2020-Annu_SCDPT1'!SCDPT1_12BEGIN_18</vt:lpstr>
      <vt:lpstr>'GMIC_2020-Annu_SCDPT1'!SCDPT1_12BEGIN_19</vt:lpstr>
      <vt:lpstr>'GMIC_2020-Annu_SCDPT1'!SCDPT1_12BEGIN_2</vt:lpstr>
      <vt:lpstr>'GMIC_2020-Annu_SCDPT1'!SCDPT1_12BEGIN_20</vt:lpstr>
      <vt:lpstr>'GMIC_2020-Annu_SCDPT1'!SCDPT1_12BEGIN_21</vt:lpstr>
      <vt:lpstr>'GMIC_2020-Annu_SCDPT1'!SCDPT1_12BEGIN_22</vt:lpstr>
      <vt:lpstr>'GMIC_2020-Annu_SCDPT1'!SCDPT1_12BEGIN_23</vt:lpstr>
      <vt:lpstr>'GMIC_2020-Annu_SCDPT1'!SCDPT1_12BEGIN_24</vt:lpstr>
      <vt:lpstr>'GMIC_2020-Annu_SCDPT1'!SCDPT1_12BEGIN_25</vt:lpstr>
      <vt:lpstr>'GMIC_2020-Annu_SCDPT1'!SCDPT1_12BEGIN_26</vt:lpstr>
      <vt:lpstr>'GMIC_2020-Annu_SCDPT1'!SCDPT1_12BEGIN_27</vt:lpstr>
      <vt:lpstr>'GMIC_2020-Annu_SCDPT1'!SCDPT1_12BEGIN_28</vt:lpstr>
      <vt:lpstr>'GMIC_2020-Annu_SCDPT1'!SCDPT1_12BEGIN_29</vt:lpstr>
      <vt:lpstr>'GMIC_2020-Annu_SCDPT1'!SCDPT1_12BEGIN_3</vt:lpstr>
      <vt:lpstr>'GMIC_2020-Annu_SCDPT1'!SCDPT1_12BEGIN_30</vt:lpstr>
      <vt:lpstr>'GMIC_2020-Annu_SCDPT1'!SCDPT1_12BEGIN_31</vt:lpstr>
      <vt:lpstr>'GMIC_2020-Annu_SCDPT1'!SCDPT1_12BEGIN_32</vt:lpstr>
      <vt:lpstr>'GMIC_2020-Annu_SCDPT1'!SCDPT1_12BEGIN_33</vt:lpstr>
      <vt:lpstr>'GMIC_2020-Annu_SCDPT1'!SCDPT1_12BEGIN_34</vt:lpstr>
      <vt:lpstr>'GMIC_2020-Annu_SCDPT1'!SCDPT1_12BEGIN_35</vt:lpstr>
      <vt:lpstr>'GMIC_2020-Annu_SCDPT1'!SCDPT1_12BEGIN_4</vt:lpstr>
      <vt:lpstr>'GMIC_2020-Annu_SCDPT1'!SCDPT1_12BEGIN_5</vt:lpstr>
      <vt:lpstr>'GMIC_2020-Annu_SCDPT1'!SCDPT1_12BEGIN_6.01</vt:lpstr>
      <vt:lpstr>'GMIC_2020-Annu_SCDPT1'!SCDPT1_12BEGIN_6.02</vt:lpstr>
      <vt:lpstr>'GMIC_2020-Annu_SCDPT1'!SCDPT1_12BEGIN_6.03</vt:lpstr>
      <vt:lpstr>'GMIC_2020-Annu_SCDPT1'!SCDPT1_12BEGIN_7</vt:lpstr>
      <vt:lpstr>'GMIC_2020-Annu_SCDPT1'!SCDPT1_12BEGIN_8</vt:lpstr>
      <vt:lpstr>'GMIC_2020-Annu_SCDPT1'!SCDPT1_12BEGIN_9</vt:lpstr>
      <vt:lpstr>'GMIC_2020-Annu_SCDPT1'!SCDPT1_12ENDIN_10</vt:lpstr>
      <vt:lpstr>'GMIC_2020-Annu_SCDPT1'!SCDPT1_12ENDIN_11</vt:lpstr>
      <vt:lpstr>'GMIC_2020-Annu_SCDPT1'!SCDPT1_12ENDIN_12</vt:lpstr>
      <vt:lpstr>'GMIC_2020-Annu_SCDPT1'!SCDPT1_12ENDIN_13</vt:lpstr>
      <vt:lpstr>'GMIC_2020-Annu_SCDPT1'!SCDPT1_12ENDIN_14</vt:lpstr>
      <vt:lpstr>'GMIC_2020-Annu_SCDPT1'!SCDPT1_12ENDIN_15</vt:lpstr>
      <vt:lpstr>'GMIC_2020-Annu_SCDPT1'!SCDPT1_12ENDIN_16</vt:lpstr>
      <vt:lpstr>'GMIC_2020-Annu_SCDPT1'!SCDPT1_12ENDIN_17</vt:lpstr>
      <vt:lpstr>'GMIC_2020-Annu_SCDPT1'!SCDPT1_12ENDIN_18</vt:lpstr>
      <vt:lpstr>'GMIC_2020-Annu_SCDPT1'!SCDPT1_12ENDIN_19</vt:lpstr>
      <vt:lpstr>'GMIC_2020-Annu_SCDPT1'!SCDPT1_12ENDIN_2</vt:lpstr>
      <vt:lpstr>'GMIC_2020-Annu_SCDPT1'!SCDPT1_12ENDIN_20</vt:lpstr>
      <vt:lpstr>'GMIC_2020-Annu_SCDPT1'!SCDPT1_12ENDIN_21</vt:lpstr>
      <vt:lpstr>'GMIC_2020-Annu_SCDPT1'!SCDPT1_12ENDIN_22</vt:lpstr>
      <vt:lpstr>'GMIC_2020-Annu_SCDPT1'!SCDPT1_12ENDIN_23</vt:lpstr>
      <vt:lpstr>'GMIC_2020-Annu_SCDPT1'!SCDPT1_12ENDIN_24</vt:lpstr>
      <vt:lpstr>'GMIC_2020-Annu_SCDPT1'!SCDPT1_12ENDIN_25</vt:lpstr>
      <vt:lpstr>'GMIC_2020-Annu_SCDPT1'!SCDPT1_12ENDIN_26</vt:lpstr>
      <vt:lpstr>'GMIC_2020-Annu_SCDPT1'!SCDPT1_12ENDIN_27</vt:lpstr>
      <vt:lpstr>'GMIC_2020-Annu_SCDPT1'!SCDPT1_12ENDIN_28</vt:lpstr>
      <vt:lpstr>'GMIC_2020-Annu_SCDPT1'!SCDPT1_12ENDIN_29</vt:lpstr>
      <vt:lpstr>'GMIC_2020-Annu_SCDPT1'!SCDPT1_12ENDIN_3</vt:lpstr>
      <vt:lpstr>'GMIC_2020-Annu_SCDPT1'!SCDPT1_12ENDIN_30</vt:lpstr>
      <vt:lpstr>'GMIC_2020-Annu_SCDPT1'!SCDPT1_12ENDIN_31</vt:lpstr>
      <vt:lpstr>'GMIC_2020-Annu_SCDPT1'!SCDPT1_12ENDIN_32</vt:lpstr>
      <vt:lpstr>'GMIC_2020-Annu_SCDPT1'!SCDPT1_12ENDIN_33</vt:lpstr>
      <vt:lpstr>'GMIC_2020-Annu_SCDPT1'!SCDPT1_12ENDIN_34</vt:lpstr>
      <vt:lpstr>'GMIC_2020-Annu_SCDPT1'!SCDPT1_12ENDIN_35</vt:lpstr>
      <vt:lpstr>'GMIC_2020-Annu_SCDPT1'!SCDPT1_12ENDIN_4</vt:lpstr>
      <vt:lpstr>'GMIC_2020-Annu_SCDPT1'!SCDPT1_12ENDIN_5</vt:lpstr>
      <vt:lpstr>'GMIC_2020-Annu_SCDPT1'!SCDPT1_12ENDIN_6.01</vt:lpstr>
      <vt:lpstr>'GMIC_2020-Annu_SCDPT1'!SCDPT1_12ENDIN_6.02</vt:lpstr>
      <vt:lpstr>'GMIC_2020-Annu_SCDPT1'!SCDPT1_12ENDIN_6.03</vt:lpstr>
      <vt:lpstr>'GMIC_2020-Annu_SCDPT1'!SCDPT1_12ENDIN_7</vt:lpstr>
      <vt:lpstr>'GMIC_2020-Annu_SCDPT1'!SCDPT1_12ENDIN_8</vt:lpstr>
      <vt:lpstr>'GMIC_2020-Annu_SCDPT1'!SCDPT1_12ENDIN_9</vt:lpstr>
      <vt:lpstr>'GMIC_2020-Annu_SCDPT1'!SCDPT1_1300000_Range</vt:lpstr>
      <vt:lpstr>'GMIC_2020-Annu_SCDPT1'!SCDPT1_1399999_10</vt:lpstr>
      <vt:lpstr>'GMIC_2020-Annu_SCDPT1'!SCDPT1_1399999_11</vt:lpstr>
      <vt:lpstr>'GMIC_2020-Annu_SCDPT1'!SCDPT1_1399999_12</vt:lpstr>
      <vt:lpstr>'GMIC_2020-Annu_SCDPT1'!SCDPT1_1399999_13</vt:lpstr>
      <vt:lpstr>'GMIC_2020-Annu_SCDPT1'!SCDPT1_1399999_14</vt:lpstr>
      <vt:lpstr>'GMIC_2020-Annu_SCDPT1'!SCDPT1_1399999_15</vt:lpstr>
      <vt:lpstr>'GMIC_2020-Annu_SCDPT1'!SCDPT1_1399999_19</vt:lpstr>
      <vt:lpstr>'GMIC_2020-Annu_SCDPT1'!SCDPT1_1399999_20</vt:lpstr>
      <vt:lpstr>'GMIC_2020-Annu_SCDPT1'!SCDPT1_1399999_7</vt:lpstr>
      <vt:lpstr>'GMIC_2020-Annu_SCDPT1'!SCDPT1_1399999_9</vt:lpstr>
      <vt:lpstr>'GMIC_2020-Annu_SCDPT1'!SCDPT1_13BEGIN_1</vt:lpstr>
      <vt:lpstr>'GMIC_2020-Annu_SCDPT1'!SCDPT1_13BEGIN_10</vt:lpstr>
      <vt:lpstr>'GMIC_2020-Annu_SCDPT1'!SCDPT1_13BEGIN_11</vt:lpstr>
      <vt:lpstr>'GMIC_2020-Annu_SCDPT1'!SCDPT1_13BEGIN_12</vt:lpstr>
      <vt:lpstr>'GMIC_2020-Annu_SCDPT1'!SCDPT1_13BEGIN_13</vt:lpstr>
      <vt:lpstr>'GMIC_2020-Annu_SCDPT1'!SCDPT1_13BEGIN_14</vt:lpstr>
      <vt:lpstr>'GMIC_2020-Annu_SCDPT1'!SCDPT1_13BEGIN_15</vt:lpstr>
      <vt:lpstr>'GMIC_2020-Annu_SCDPT1'!SCDPT1_13BEGIN_16</vt:lpstr>
      <vt:lpstr>'GMIC_2020-Annu_SCDPT1'!SCDPT1_13BEGIN_17</vt:lpstr>
      <vt:lpstr>'GMIC_2020-Annu_SCDPT1'!SCDPT1_13BEGIN_18</vt:lpstr>
      <vt:lpstr>'GMIC_2020-Annu_SCDPT1'!SCDPT1_13BEGIN_19</vt:lpstr>
      <vt:lpstr>'GMIC_2020-Annu_SCDPT1'!SCDPT1_13BEGIN_2</vt:lpstr>
      <vt:lpstr>'GMIC_2020-Annu_SCDPT1'!SCDPT1_13BEGIN_20</vt:lpstr>
      <vt:lpstr>'GMIC_2020-Annu_SCDPT1'!SCDPT1_13BEGIN_21</vt:lpstr>
      <vt:lpstr>'GMIC_2020-Annu_SCDPT1'!SCDPT1_13BEGIN_22</vt:lpstr>
      <vt:lpstr>'GMIC_2020-Annu_SCDPT1'!SCDPT1_13BEGIN_23</vt:lpstr>
      <vt:lpstr>'GMIC_2020-Annu_SCDPT1'!SCDPT1_13BEGIN_24</vt:lpstr>
      <vt:lpstr>'GMIC_2020-Annu_SCDPT1'!SCDPT1_13BEGIN_25</vt:lpstr>
      <vt:lpstr>'GMIC_2020-Annu_SCDPT1'!SCDPT1_13BEGIN_26</vt:lpstr>
      <vt:lpstr>'GMIC_2020-Annu_SCDPT1'!SCDPT1_13BEGIN_27</vt:lpstr>
      <vt:lpstr>'GMIC_2020-Annu_SCDPT1'!SCDPT1_13BEGIN_28</vt:lpstr>
      <vt:lpstr>'GMIC_2020-Annu_SCDPT1'!SCDPT1_13BEGIN_29</vt:lpstr>
      <vt:lpstr>'GMIC_2020-Annu_SCDPT1'!SCDPT1_13BEGIN_3</vt:lpstr>
      <vt:lpstr>'GMIC_2020-Annu_SCDPT1'!SCDPT1_13BEGIN_30</vt:lpstr>
      <vt:lpstr>'GMIC_2020-Annu_SCDPT1'!SCDPT1_13BEGIN_31</vt:lpstr>
      <vt:lpstr>'GMIC_2020-Annu_SCDPT1'!SCDPT1_13BEGIN_32</vt:lpstr>
      <vt:lpstr>'GMIC_2020-Annu_SCDPT1'!SCDPT1_13BEGIN_33</vt:lpstr>
      <vt:lpstr>'GMIC_2020-Annu_SCDPT1'!SCDPT1_13BEGIN_34</vt:lpstr>
      <vt:lpstr>'GMIC_2020-Annu_SCDPT1'!SCDPT1_13BEGIN_35</vt:lpstr>
      <vt:lpstr>'GMIC_2020-Annu_SCDPT1'!SCDPT1_13BEGIN_4</vt:lpstr>
      <vt:lpstr>'GMIC_2020-Annu_SCDPT1'!SCDPT1_13BEGIN_5</vt:lpstr>
      <vt:lpstr>'GMIC_2020-Annu_SCDPT1'!SCDPT1_13BEGIN_6.01</vt:lpstr>
      <vt:lpstr>'GMIC_2020-Annu_SCDPT1'!SCDPT1_13BEGIN_6.02</vt:lpstr>
      <vt:lpstr>'GMIC_2020-Annu_SCDPT1'!SCDPT1_13BEGIN_6.03</vt:lpstr>
      <vt:lpstr>'GMIC_2020-Annu_SCDPT1'!SCDPT1_13BEGIN_7</vt:lpstr>
      <vt:lpstr>'GMIC_2020-Annu_SCDPT1'!SCDPT1_13BEGIN_8</vt:lpstr>
      <vt:lpstr>'GMIC_2020-Annu_SCDPT1'!SCDPT1_13BEGIN_9</vt:lpstr>
      <vt:lpstr>'GMIC_2020-Annu_SCDPT1'!SCDPT1_13ENDIN_10</vt:lpstr>
      <vt:lpstr>'GMIC_2020-Annu_SCDPT1'!SCDPT1_13ENDIN_11</vt:lpstr>
      <vt:lpstr>'GMIC_2020-Annu_SCDPT1'!SCDPT1_13ENDIN_12</vt:lpstr>
      <vt:lpstr>'GMIC_2020-Annu_SCDPT1'!SCDPT1_13ENDIN_13</vt:lpstr>
      <vt:lpstr>'GMIC_2020-Annu_SCDPT1'!SCDPT1_13ENDIN_14</vt:lpstr>
      <vt:lpstr>'GMIC_2020-Annu_SCDPT1'!SCDPT1_13ENDIN_15</vt:lpstr>
      <vt:lpstr>'GMIC_2020-Annu_SCDPT1'!SCDPT1_13ENDIN_16</vt:lpstr>
      <vt:lpstr>'GMIC_2020-Annu_SCDPT1'!SCDPT1_13ENDIN_17</vt:lpstr>
      <vt:lpstr>'GMIC_2020-Annu_SCDPT1'!SCDPT1_13ENDIN_18</vt:lpstr>
      <vt:lpstr>'GMIC_2020-Annu_SCDPT1'!SCDPT1_13ENDIN_19</vt:lpstr>
      <vt:lpstr>'GMIC_2020-Annu_SCDPT1'!SCDPT1_13ENDIN_2</vt:lpstr>
      <vt:lpstr>'GMIC_2020-Annu_SCDPT1'!SCDPT1_13ENDIN_20</vt:lpstr>
      <vt:lpstr>'GMIC_2020-Annu_SCDPT1'!SCDPT1_13ENDIN_21</vt:lpstr>
      <vt:lpstr>'GMIC_2020-Annu_SCDPT1'!SCDPT1_13ENDIN_22</vt:lpstr>
      <vt:lpstr>'GMIC_2020-Annu_SCDPT1'!SCDPT1_13ENDIN_23</vt:lpstr>
      <vt:lpstr>'GMIC_2020-Annu_SCDPT1'!SCDPT1_13ENDIN_24</vt:lpstr>
      <vt:lpstr>'GMIC_2020-Annu_SCDPT1'!SCDPT1_13ENDIN_25</vt:lpstr>
      <vt:lpstr>'GMIC_2020-Annu_SCDPT1'!SCDPT1_13ENDIN_26</vt:lpstr>
      <vt:lpstr>'GMIC_2020-Annu_SCDPT1'!SCDPT1_13ENDIN_27</vt:lpstr>
      <vt:lpstr>'GMIC_2020-Annu_SCDPT1'!SCDPT1_13ENDIN_28</vt:lpstr>
      <vt:lpstr>'GMIC_2020-Annu_SCDPT1'!SCDPT1_13ENDIN_29</vt:lpstr>
      <vt:lpstr>'GMIC_2020-Annu_SCDPT1'!SCDPT1_13ENDIN_3</vt:lpstr>
      <vt:lpstr>'GMIC_2020-Annu_SCDPT1'!SCDPT1_13ENDIN_30</vt:lpstr>
      <vt:lpstr>'GMIC_2020-Annu_SCDPT1'!SCDPT1_13ENDIN_31</vt:lpstr>
      <vt:lpstr>'GMIC_2020-Annu_SCDPT1'!SCDPT1_13ENDIN_32</vt:lpstr>
      <vt:lpstr>'GMIC_2020-Annu_SCDPT1'!SCDPT1_13ENDIN_33</vt:lpstr>
      <vt:lpstr>'GMIC_2020-Annu_SCDPT1'!SCDPT1_13ENDIN_34</vt:lpstr>
      <vt:lpstr>'GMIC_2020-Annu_SCDPT1'!SCDPT1_13ENDIN_35</vt:lpstr>
      <vt:lpstr>'GMIC_2020-Annu_SCDPT1'!SCDPT1_13ENDIN_4</vt:lpstr>
      <vt:lpstr>'GMIC_2020-Annu_SCDPT1'!SCDPT1_13ENDIN_5</vt:lpstr>
      <vt:lpstr>'GMIC_2020-Annu_SCDPT1'!SCDPT1_13ENDIN_6.01</vt:lpstr>
      <vt:lpstr>'GMIC_2020-Annu_SCDPT1'!SCDPT1_13ENDIN_6.02</vt:lpstr>
      <vt:lpstr>'GMIC_2020-Annu_SCDPT1'!SCDPT1_13ENDIN_6.03</vt:lpstr>
      <vt:lpstr>'GMIC_2020-Annu_SCDPT1'!SCDPT1_13ENDIN_7</vt:lpstr>
      <vt:lpstr>'GMIC_2020-Annu_SCDPT1'!SCDPT1_13ENDIN_8</vt:lpstr>
      <vt:lpstr>'GMIC_2020-Annu_SCDPT1'!SCDPT1_13ENDIN_9</vt:lpstr>
      <vt:lpstr>'GMIC_2020-Annu_SCDPT1'!SCDPT1_1400000_Range</vt:lpstr>
      <vt:lpstr>'GMIC_2020-Annu_SCDPT1'!SCDPT1_1499999_10</vt:lpstr>
      <vt:lpstr>'GMIC_2020-Annu_SCDPT1'!SCDPT1_1499999_11</vt:lpstr>
      <vt:lpstr>'GMIC_2020-Annu_SCDPT1'!SCDPT1_1499999_12</vt:lpstr>
      <vt:lpstr>'GMIC_2020-Annu_SCDPT1'!SCDPT1_1499999_13</vt:lpstr>
      <vt:lpstr>'GMIC_2020-Annu_SCDPT1'!SCDPT1_1499999_14</vt:lpstr>
      <vt:lpstr>'GMIC_2020-Annu_SCDPT1'!SCDPT1_1499999_15</vt:lpstr>
      <vt:lpstr>'GMIC_2020-Annu_SCDPT1'!SCDPT1_1499999_19</vt:lpstr>
      <vt:lpstr>'GMIC_2020-Annu_SCDPT1'!SCDPT1_1499999_20</vt:lpstr>
      <vt:lpstr>'GMIC_2020-Annu_SCDPT1'!SCDPT1_1499999_7</vt:lpstr>
      <vt:lpstr>'GMIC_2020-Annu_SCDPT1'!SCDPT1_1499999_9</vt:lpstr>
      <vt:lpstr>'GMIC_2020-Annu_SCDPT1'!SCDPT1_14BEGIN_1</vt:lpstr>
      <vt:lpstr>'GMIC_2020-Annu_SCDPT1'!SCDPT1_14BEGIN_10</vt:lpstr>
      <vt:lpstr>'GMIC_2020-Annu_SCDPT1'!SCDPT1_14BEGIN_11</vt:lpstr>
      <vt:lpstr>'GMIC_2020-Annu_SCDPT1'!SCDPT1_14BEGIN_12</vt:lpstr>
      <vt:lpstr>'GMIC_2020-Annu_SCDPT1'!SCDPT1_14BEGIN_13</vt:lpstr>
      <vt:lpstr>'GMIC_2020-Annu_SCDPT1'!SCDPT1_14BEGIN_14</vt:lpstr>
      <vt:lpstr>'GMIC_2020-Annu_SCDPT1'!SCDPT1_14BEGIN_15</vt:lpstr>
      <vt:lpstr>'GMIC_2020-Annu_SCDPT1'!SCDPT1_14BEGIN_16</vt:lpstr>
      <vt:lpstr>'GMIC_2020-Annu_SCDPT1'!SCDPT1_14BEGIN_17</vt:lpstr>
      <vt:lpstr>'GMIC_2020-Annu_SCDPT1'!SCDPT1_14BEGIN_18</vt:lpstr>
      <vt:lpstr>'GMIC_2020-Annu_SCDPT1'!SCDPT1_14BEGIN_19</vt:lpstr>
      <vt:lpstr>'GMIC_2020-Annu_SCDPT1'!SCDPT1_14BEGIN_2</vt:lpstr>
      <vt:lpstr>'GMIC_2020-Annu_SCDPT1'!SCDPT1_14BEGIN_20</vt:lpstr>
      <vt:lpstr>'GMIC_2020-Annu_SCDPT1'!SCDPT1_14BEGIN_21</vt:lpstr>
      <vt:lpstr>'GMIC_2020-Annu_SCDPT1'!SCDPT1_14BEGIN_22</vt:lpstr>
      <vt:lpstr>'GMIC_2020-Annu_SCDPT1'!SCDPT1_14BEGIN_23</vt:lpstr>
      <vt:lpstr>'GMIC_2020-Annu_SCDPT1'!SCDPT1_14BEGIN_24</vt:lpstr>
      <vt:lpstr>'GMIC_2020-Annu_SCDPT1'!SCDPT1_14BEGIN_25</vt:lpstr>
      <vt:lpstr>'GMIC_2020-Annu_SCDPT1'!SCDPT1_14BEGIN_26</vt:lpstr>
      <vt:lpstr>'GMIC_2020-Annu_SCDPT1'!SCDPT1_14BEGIN_27</vt:lpstr>
      <vt:lpstr>'GMIC_2020-Annu_SCDPT1'!SCDPT1_14BEGIN_28</vt:lpstr>
      <vt:lpstr>'GMIC_2020-Annu_SCDPT1'!SCDPT1_14BEGIN_29</vt:lpstr>
      <vt:lpstr>'GMIC_2020-Annu_SCDPT1'!SCDPT1_14BEGIN_3</vt:lpstr>
      <vt:lpstr>'GMIC_2020-Annu_SCDPT1'!SCDPT1_14BEGIN_30</vt:lpstr>
      <vt:lpstr>'GMIC_2020-Annu_SCDPT1'!SCDPT1_14BEGIN_31</vt:lpstr>
      <vt:lpstr>'GMIC_2020-Annu_SCDPT1'!SCDPT1_14BEGIN_32</vt:lpstr>
      <vt:lpstr>'GMIC_2020-Annu_SCDPT1'!SCDPT1_14BEGIN_33</vt:lpstr>
      <vt:lpstr>'GMIC_2020-Annu_SCDPT1'!SCDPT1_14BEGIN_34</vt:lpstr>
      <vt:lpstr>'GMIC_2020-Annu_SCDPT1'!SCDPT1_14BEGIN_35</vt:lpstr>
      <vt:lpstr>'GMIC_2020-Annu_SCDPT1'!SCDPT1_14BEGIN_4</vt:lpstr>
      <vt:lpstr>'GMIC_2020-Annu_SCDPT1'!SCDPT1_14BEGIN_5</vt:lpstr>
      <vt:lpstr>'GMIC_2020-Annu_SCDPT1'!SCDPT1_14BEGIN_6.01</vt:lpstr>
      <vt:lpstr>'GMIC_2020-Annu_SCDPT1'!SCDPT1_14BEGIN_6.02</vt:lpstr>
      <vt:lpstr>'GMIC_2020-Annu_SCDPT1'!SCDPT1_14BEGIN_6.03</vt:lpstr>
      <vt:lpstr>'GMIC_2020-Annu_SCDPT1'!SCDPT1_14BEGIN_7</vt:lpstr>
      <vt:lpstr>'GMIC_2020-Annu_SCDPT1'!SCDPT1_14BEGIN_8</vt:lpstr>
      <vt:lpstr>'GMIC_2020-Annu_SCDPT1'!SCDPT1_14BEGIN_9</vt:lpstr>
      <vt:lpstr>'GMIC_2020-Annu_SCDPT1'!SCDPT1_14ENDIN_10</vt:lpstr>
      <vt:lpstr>'GMIC_2020-Annu_SCDPT1'!SCDPT1_14ENDIN_11</vt:lpstr>
      <vt:lpstr>'GMIC_2020-Annu_SCDPT1'!SCDPT1_14ENDIN_12</vt:lpstr>
      <vt:lpstr>'GMIC_2020-Annu_SCDPT1'!SCDPT1_14ENDIN_13</vt:lpstr>
      <vt:lpstr>'GMIC_2020-Annu_SCDPT1'!SCDPT1_14ENDIN_14</vt:lpstr>
      <vt:lpstr>'GMIC_2020-Annu_SCDPT1'!SCDPT1_14ENDIN_15</vt:lpstr>
      <vt:lpstr>'GMIC_2020-Annu_SCDPT1'!SCDPT1_14ENDIN_16</vt:lpstr>
      <vt:lpstr>'GMIC_2020-Annu_SCDPT1'!SCDPT1_14ENDIN_17</vt:lpstr>
      <vt:lpstr>'GMIC_2020-Annu_SCDPT1'!SCDPT1_14ENDIN_18</vt:lpstr>
      <vt:lpstr>'GMIC_2020-Annu_SCDPT1'!SCDPT1_14ENDIN_19</vt:lpstr>
      <vt:lpstr>'GMIC_2020-Annu_SCDPT1'!SCDPT1_14ENDIN_2</vt:lpstr>
      <vt:lpstr>'GMIC_2020-Annu_SCDPT1'!SCDPT1_14ENDIN_20</vt:lpstr>
      <vt:lpstr>'GMIC_2020-Annu_SCDPT1'!SCDPT1_14ENDIN_21</vt:lpstr>
      <vt:lpstr>'GMIC_2020-Annu_SCDPT1'!SCDPT1_14ENDIN_22</vt:lpstr>
      <vt:lpstr>'GMIC_2020-Annu_SCDPT1'!SCDPT1_14ENDIN_23</vt:lpstr>
      <vt:lpstr>'GMIC_2020-Annu_SCDPT1'!SCDPT1_14ENDIN_24</vt:lpstr>
      <vt:lpstr>'GMIC_2020-Annu_SCDPT1'!SCDPT1_14ENDIN_25</vt:lpstr>
      <vt:lpstr>'GMIC_2020-Annu_SCDPT1'!SCDPT1_14ENDIN_26</vt:lpstr>
      <vt:lpstr>'GMIC_2020-Annu_SCDPT1'!SCDPT1_14ENDIN_27</vt:lpstr>
      <vt:lpstr>'GMIC_2020-Annu_SCDPT1'!SCDPT1_14ENDIN_28</vt:lpstr>
      <vt:lpstr>'GMIC_2020-Annu_SCDPT1'!SCDPT1_14ENDIN_29</vt:lpstr>
      <vt:lpstr>'GMIC_2020-Annu_SCDPT1'!SCDPT1_14ENDIN_3</vt:lpstr>
      <vt:lpstr>'GMIC_2020-Annu_SCDPT1'!SCDPT1_14ENDIN_30</vt:lpstr>
      <vt:lpstr>'GMIC_2020-Annu_SCDPT1'!SCDPT1_14ENDIN_31</vt:lpstr>
      <vt:lpstr>'GMIC_2020-Annu_SCDPT1'!SCDPT1_14ENDIN_32</vt:lpstr>
      <vt:lpstr>'GMIC_2020-Annu_SCDPT1'!SCDPT1_14ENDIN_33</vt:lpstr>
      <vt:lpstr>'GMIC_2020-Annu_SCDPT1'!SCDPT1_14ENDIN_34</vt:lpstr>
      <vt:lpstr>'GMIC_2020-Annu_SCDPT1'!SCDPT1_14ENDIN_35</vt:lpstr>
      <vt:lpstr>'GMIC_2020-Annu_SCDPT1'!SCDPT1_14ENDIN_4</vt:lpstr>
      <vt:lpstr>'GMIC_2020-Annu_SCDPT1'!SCDPT1_14ENDIN_5</vt:lpstr>
      <vt:lpstr>'GMIC_2020-Annu_SCDPT1'!SCDPT1_14ENDIN_6.01</vt:lpstr>
      <vt:lpstr>'GMIC_2020-Annu_SCDPT1'!SCDPT1_14ENDIN_6.02</vt:lpstr>
      <vt:lpstr>'GMIC_2020-Annu_SCDPT1'!SCDPT1_14ENDIN_6.03</vt:lpstr>
      <vt:lpstr>'GMIC_2020-Annu_SCDPT1'!SCDPT1_14ENDIN_7</vt:lpstr>
      <vt:lpstr>'GMIC_2020-Annu_SCDPT1'!SCDPT1_14ENDIN_8</vt:lpstr>
      <vt:lpstr>'GMIC_2020-Annu_SCDPT1'!SCDPT1_14ENDIN_9</vt:lpstr>
      <vt:lpstr>'GMIC_2020-Annu_SCDPT1'!SCDPT1_1799999_10</vt:lpstr>
      <vt:lpstr>'GMIC_2020-Annu_SCDPT1'!SCDPT1_1799999_11</vt:lpstr>
      <vt:lpstr>'GMIC_2020-Annu_SCDPT1'!SCDPT1_1799999_12</vt:lpstr>
      <vt:lpstr>'GMIC_2020-Annu_SCDPT1'!SCDPT1_1799999_13</vt:lpstr>
      <vt:lpstr>'GMIC_2020-Annu_SCDPT1'!SCDPT1_1799999_14</vt:lpstr>
      <vt:lpstr>'GMIC_2020-Annu_SCDPT1'!SCDPT1_1799999_15</vt:lpstr>
      <vt:lpstr>'GMIC_2020-Annu_SCDPT1'!SCDPT1_1799999_19</vt:lpstr>
      <vt:lpstr>'GMIC_2020-Annu_SCDPT1'!SCDPT1_1799999_20</vt:lpstr>
      <vt:lpstr>'GMIC_2020-Annu_SCDPT1'!SCDPT1_1799999_7</vt:lpstr>
      <vt:lpstr>'GMIC_2020-Annu_SCDPT1'!SCDPT1_1799999_9</vt:lpstr>
      <vt:lpstr>'GMIC_2020-Annu_SCDPT1'!SCDPT1_1800000_Range</vt:lpstr>
      <vt:lpstr>'GMIC_2020-Annu_SCDPT1'!SCDPT1_1800001_1</vt:lpstr>
      <vt:lpstr>'GMIC_2020-Annu_SCDPT1'!SCDPT1_1800001_10</vt:lpstr>
      <vt:lpstr>'GMIC_2020-Annu_SCDPT1'!SCDPT1_1800001_11</vt:lpstr>
      <vt:lpstr>'GMIC_2020-Annu_SCDPT1'!SCDPT1_1800001_12</vt:lpstr>
      <vt:lpstr>'GMIC_2020-Annu_SCDPT1'!SCDPT1_1800001_13</vt:lpstr>
      <vt:lpstr>'GMIC_2020-Annu_SCDPT1'!SCDPT1_1800001_14</vt:lpstr>
      <vt:lpstr>'GMIC_2020-Annu_SCDPT1'!SCDPT1_1800001_15</vt:lpstr>
      <vt:lpstr>'GMIC_2020-Annu_SCDPT1'!SCDPT1_1800001_16</vt:lpstr>
      <vt:lpstr>'GMIC_2020-Annu_SCDPT1'!SCDPT1_1800001_17</vt:lpstr>
      <vt:lpstr>'GMIC_2020-Annu_SCDPT1'!SCDPT1_1800001_18</vt:lpstr>
      <vt:lpstr>'GMIC_2020-Annu_SCDPT1'!SCDPT1_1800001_19</vt:lpstr>
      <vt:lpstr>'GMIC_2020-Annu_SCDPT1'!SCDPT1_1800001_2</vt:lpstr>
      <vt:lpstr>'GMIC_2020-Annu_SCDPT1'!SCDPT1_1800001_20</vt:lpstr>
      <vt:lpstr>'GMIC_2020-Annu_SCDPT1'!SCDPT1_1800001_21</vt:lpstr>
      <vt:lpstr>'GMIC_2020-Annu_SCDPT1'!SCDPT1_1800001_22</vt:lpstr>
      <vt:lpstr>'GMIC_2020-Annu_SCDPT1'!SCDPT1_1800001_23</vt:lpstr>
      <vt:lpstr>'GMIC_2020-Annu_SCDPT1'!SCDPT1_1800001_24</vt:lpstr>
      <vt:lpstr>'GMIC_2020-Annu_SCDPT1'!SCDPT1_1800001_25</vt:lpstr>
      <vt:lpstr>'GMIC_2020-Annu_SCDPT1'!SCDPT1_1800001_27</vt:lpstr>
      <vt:lpstr>'GMIC_2020-Annu_SCDPT1'!SCDPT1_1800001_28</vt:lpstr>
      <vt:lpstr>'GMIC_2020-Annu_SCDPT1'!SCDPT1_1800001_29</vt:lpstr>
      <vt:lpstr>'GMIC_2020-Annu_SCDPT1'!SCDPT1_1800001_3</vt:lpstr>
      <vt:lpstr>'GMIC_2020-Annu_SCDPT1'!SCDPT1_1800001_30</vt:lpstr>
      <vt:lpstr>'GMIC_2020-Annu_SCDPT1'!SCDPT1_1800001_31</vt:lpstr>
      <vt:lpstr>'GMIC_2020-Annu_SCDPT1'!SCDPT1_1800001_32</vt:lpstr>
      <vt:lpstr>'GMIC_2020-Annu_SCDPT1'!SCDPT1_1800001_33</vt:lpstr>
      <vt:lpstr>'GMIC_2020-Annu_SCDPT1'!SCDPT1_1800001_34</vt:lpstr>
      <vt:lpstr>'GMIC_2020-Annu_SCDPT1'!SCDPT1_1800001_35</vt:lpstr>
      <vt:lpstr>'GMIC_2020-Annu_SCDPT1'!SCDPT1_1800001_4</vt:lpstr>
      <vt:lpstr>'GMIC_2020-Annu_SCDPT1'!SCDPT1_1800001_5</vt:lpstr>
      <vt:lpstr>'GMIC_2020-Annu_SCDPT1'!SCDPT1_1800001_6.01</vt:lpstr>
      <vt:lpstr>'GMIC_2020-Annu_SCDPT1'!SCDPT1_1800001_6.02</vt:lpstr>
      <vt:lpstr>'GMIC_2020-Annu_SCDPT1'!SCDPT1_1800001_6.03</vt:lpstr>
      <vt:lpstr>'GMIC_2020-Annu_SCDPT1'!SCDPT1_1800001_7</vt:lpstr>
      <vt:lpstr>'GMIC_2020-Annu_SCDPT1'!SCDPT1_1800001_8</vt:lpstr>
      <vt:lpstr>'GMIC_2020-Annu_SCDPT1'!SCDPT1_1800001_9</vt:lpstr>
      <vt:lpstr>'GMIC_2020-Annu_SCDPT1'!SCDPT1_1899999_10</vt:lpstr>
      <vt:lpstr>'GMIC_2020-Annu_SCDPT1'!SCDPT1_1899999_11</vt:lpstr>
      <vt:lpstr>'GMIC_2020-Annu_SCDPT1'!SCDPT1_1899999_12</vt:lpstr>
      <vt:lpstr>'GMIC_2020-Annu_SCDPT1'!SCDPT1_1899999_13</vt:lpstr>
      <vt:lpstr>'GMIC_2020-Annu_SCDPT1'!SCDPT1_1899999_14</vt:lpstr>
      <vt:lpstr>'GMIC_2020-Annu_SCDPT1'!SCDPT1_1899999_15</vt:lpstr>
      <vt:lpstr>'GMIC_2020-Annu_SCDPT1'!SCDPT1_1899999_19</vt:lpstr>
      <vt:lpstr>'GMIC_2020-Annu_SCDPT1'!SCDPT1_1899999_20</vt:lpstr>
      <vt:lpstr>'GMIC_2020-Annu_SCDPT1'!SCDPT1_1899999_7</vt:lpstr>
      <vt:lpstr>'GMIC_2020-Annu_SCDPT1'!SCDPT1_1899999_9</vt:lpstr>
      <vt:lpstr>'GMIC_2020-Annu_SCDPT1'!SCDPT1_18BEGIN_1</vt:lpstr>
      <vt:lpstr>'GMIC_2020-Annu_SCDPT1'!SCDPT1_18BEGIN_10</vt:lpstr>
      <vt:lpstr>'GMIC_2020-Annu_SCDPT1'!SCDPT1_18BEGIN_11</vt:lpstr>
      <vt:lpstr>'GMIC_2020-Annu_SCDPT1'!SCDPT1_18BEGIN_12</vt:lpstr>
      <vt:lpstr>'GMIC_2020-Annu_SCDPT1'!SCDPT1_18BEGIN_13</vt:lpstr>
      <vt:lpstr>'GMIC_2020-Annu_SCDPT1'!SCDPT1_18BEGIN_14</vt:lpstr>
      <vt:lpstr>'GMIC_2020-Annu_SCDPT1'!SCDPT1_18BEGIN_15</vt:lpstr>
      <vt:lpstr>'GMIC_2020-Annu_SCDPT1'!SCDPT1_18BEGIN_16</vt:lpstr>
      <vt:lpstr>'GMIC_2020-Annu_SCDPT1'!SCDPT1_18BEGIN_17</vt:lpstr>
      <vt:lpstr>'GMIC_2020-Annu_SCDPT1'!SCDPT1_18BEGIN_18</vt:lpstr>
      <vt:lpstr>'GMIC_2020-Annu_SCDPT1'!SCDPT1_18BEGIN_19</vt:lpstr>
      <vt:lpstr>'GMIC_2020-Annu_SCDPT1'!SCDPT1_18BEGIN_2</vt:lpstr>
      <vt:lpstr>'GMIC_2020-Annu_SCDPT1'!SCDPT1_18BEGIN_20</vt:lpstr>
      <vt:lpstr>'GMIC_2020-Annu_SCDPT1'!SCDPT1_18BEGIN_21</vt:lpstr>
      <vt:lpstr>'GMIC_2020-Annu_SCDPT1'!SCDPT1_18BEGIN_22</vt:lpstr>
      <vt:lpstr>'GMIC_2020-Annu_SCDPT1'!SCDPT1_18BEGIN_23</vt:lpstr>
      <vt:lpstr>'GMIC_2020-Annu_SCDPT1'!SCDPT1_18BEGIN_24</vt:lpstr>
      <vt:lpstr>'GMIC_2020-Annu_SCDPT1'!SCDPT1_18BEGIN_25</vt:lpstr>
      <vt:lpstr>'GMIC_2020-Annu_SCDPT1'!SCDPT1_18BEGIN_26</vt:lpstr>
      <vt:lpstr>'GMIC_2020-Annu_SCDPT1'!SCDPT1_18BEGIN_27</vt:lpstr>
      <vt:lpstr>'GMIC_2020-Annu_SCDPT1'!SCDPT1_18BEGIN_28</vt:lpstr>
      <vt:lpstr>'GMIC_2020-Annu_SCDPT1'!SCDPT1_18BEGIN_29</vt:lpstr>
      <vt:lpstr>'GMIC_2020-Annu_SCDPT1'!SCDPT1_18BEGIN_3</vt:lpstr>
      <vt:lpstr>'GMIC_2020-Annu_SCDPT1'!SCDPT1_18BEGIN_30</vt:lpstr>
      <vt:lpstr>'GMIC_2020-Annu_SCDPT1'!SCDPT1_18BEGIN_31</vt:lpstr>
      <vt:lpstr>'GMIC_2020-Annu_SCDPT1'!SCDPT1_18BEGIN_32</vt:lpstr>
      <vt:lpstr>'GMIC_2020-Annu_SCDPT1'!SCDPT1_18BEGIN_33</vt:lpstr>
      <vt:lpstr>'GMIC_2020-Annu_SCDPT1'!SCDPT1_18BEGIN_34</vt:lpstr>
      <vt:lpstr>'GMIC_2020-Annu_SCDPT1'!SCDPT1_18BEGIN_35</vt:lpstr>
      <vt:lpstr>'GMIC_2020-Annu_SCDPT1'!SCDPT1_18BEGIN_4</vt:lpstr>
      <vt:lpstr>'GMIC_2020-Annu_SCDPT1'!SCDPT1_18BEGIN_5</vt:lpstr>
      <vt:lpstr>'GMIC_2020-Annu_SCDPT1'!SCDPT1_18BEGIN_6.01</vt:lpstr>
      <vt:lpstr>'GMIC_2020-Annu_SCDPT1'!SCDPT1_18BEGIN_6.02</vt:lpstr>
      <vt:lpstr>'GMIC_2020-Annu_SCDPT1'!SCDPT1_18BEGIN_6.03</vt:lpstr>
      <vt:lpstr>'GMIC_2020-Annu_SCDPT1'!SCDPT1_18BEGIN_7</vt:lpstr>
      <vt:lpstr>'GMIC_2020-Annu_SCDPT1'!SCDPT1_18BEGIN_8</vt:lpstr>
      <vt:lpstr>'GMIC_2020-Annu_SCDPT1'!SCDPT1_18BEGIN_9</vt:lpstr>
      <vt:lpstr>'GMIC_2020-Annu_SCDPT1'!SCDPT1_18ENDIN_10</vt:lpstr>
      <vt:lpstr>'GMIC_2020-Annu_SCDPT1'!SCDPT1_18ENDIN_11</vt:lpstr>
      <vt:lpstr>'GMIC_2020-Annu_SCDPT1'!SCDPT1_18ENDIN_12</vt:lpstr>
      <vt:lpstr>'GMIC_2020-Annu_SCDPT1'!SCDPT1_18ENDIN_13</vt:lpstr>
      <vt:lpstr>'GMIC_2020-Annu_SCDPT1'!SCDPT1_18ENDIN_14</vt:lpstr>
      <vt:lpstr>'GMIC_2020-Annu_SCDPT1'!SCDPT1_18ENDIN_15</vt:lpstr>
      <vt:lpstr>'GMIC_2020-Annu_SCDPT1'!SCDPT1_18ENDIN_16</vt:lpstr>
      <vt:lpstr>'GMIC_2020-Annu_SCDPT1'!SCDPT1_18ENDIN_17</vt:lpstr>
      <vt:lpstr>'GMIC_2020-Annu_SCDPT1'!SCDPT1_18ENDIN_18</vt:lpstr>
      <vt:lpstr>'GMIC_2020-Annu_SCDPT1'!SCDPT1_18ENDIN_19</vt:lpstr>
      <vt:lpstr>'GMIC_2020-Annu_SCDPT1'!SCDPT1_18ENDIN_2</vt:lpstr>
      <vt:lpstr>'GMIC_2020-Annu_SCDPT1'!SCDPT1_18ENDIN_20</vt:lpstr>
      <vt:lpstr>'GMIC_2020-Annu_SCDPT1'!SCDPT1_18ENDIN_21</vt:lpstr>
      <vt:lpstr>'GMIC_2020-Annu_SCDPT1'!SCDPT1_18ENDIN_22</vt:lpstr>
      <vt:lpstr>'GMIC_2020-Annu_SCDPT1'!SCDPT1_18ENDIN_23</vt:lpstr>
      <vt:lpstr>'GMIC_2020-Annu_SCDPT1'!SCDPT1_18ENDIN_24</vt:lpstr>
      <vt:lpstr>'GMIC_2020-Annu_SCDPT1'!SCDPT1_18ENDIN_25</vt:lpstr>
      <vt:lpstr>'GMIC_2020-Annu_SCDPT1'!SCDPT1_18ENDIN_26</vt:lpstr>
      <vt:lpstr>'GMIC_2020-Annu_SCDPT1'!SCDPT1_18ENDIN_27</vt:lpstr>
      <vt:lpstr>'GMIC_2020-Annu_SCDPT1'!SCDPT1_18ENDIN_28</vt:lpstr>
      <vt:lpstr>'GMIC_2020-Annu_SCDPT1'!SCDPT1_18ENDIN_29</vt:lpstr>
      <vt:lpstr>'GMIC_2020-Annu_SCDPT1'!SCDPT1_18ENDIN_3</vt:lpstr>
      <vt:lpstr>'GMIC_2020-Annu_SCDPT1'!SCDPT1_18ENDIN_30</vt:lpstr>
      <vt:lpstr>'GMIC_2020-Annu_SCDPT1'!SCDPT1_18ENDIN_31</vt:lpstr>
      <vt:lpstr>'GMIC_2020-Annu_SCDPT1'!SCDPT1_18ENDIN_32</vt:lpstr>
      <vt:lpstr>'GMIC_2020-Annu_SCDPT1'!SCDPT1_18ENDIN_33</vt:lpstr>
      <vt:lpstr>'GMIC_2020-Annu_SCDPT1'!SCDPT1_18ENDIN_34</vt:lpstr>
      <vt:lpstr>'GMIC_2020-Annu_SCDPT1'!SCDPT1_18ENDIN_35</vt:lpstr>
      <vt:lpstr>'GMIC_2020-Annu_SCDPT1'!SCDPT1_18ENDIN_4</vt:lpstr>
      <vt:lpstr>'GMIC_2020-Annu_SCDPT1'!SCDPT1_18ENDIN_5</vt:lpstr>
      <vt:lpstr>'GMIC_2020-Annu_SCDPT1'!SCDPT1_18ENDIN_6.01</vt:lpstr>
      <vt:lpstr>'GMIC_2020-Annu_SCDPT1'!SCDPT1_18ENDIN_6.02</vt:lpstr>
      <vt:lpstr>'GMIC_2020-Annu_SCDPT1'!SCDPT1_18ENDIN_6.03</vt:lpstr>
      <vt:lpstr>'GMIC_2020-Annu_SCDPT1'!SCDPT1_18ENDIN_7</vt:lpstr>
      <vt:lpstr>'GMIC_2020-Annu_SCDPT1'!SCDPT1_18ENDIN_8</vt:lpstr>
      <vt:lpstr>'GMIC_2020-Annu_SCDPT1'!SCDPT1_18ENDIN_9</vt:lpstr>
      <vt:lpstr>'GMIC_2020-Annu_SCDPT1'!SCDPT1_1900000_Range</vt:lpstr>
      <vt:lpstr>'GMIC_2020-Annu_SCDPT1'!SCDPT1_1999999_10</vt:lpstr>
      <vt:lpstr>'GMIC_2020-Annu_SCDPT1'!SCDPT1_1999999_11</vt:lpstr>
      <vt:lpstr>'GMIC_2020-Annu_SCDPT1'!SCDPT1_1999999_12</vt:lpstr>
      <vt:lpstr>'GMIC_2020-Annu_SCDPT1'!SCDPT1_1999999_13</vt:lpstr>
      <vt:lpstr>'GMIC_2020-Annu_SCDPT1'!SCDPT1_1999999_14</vt:lpstr>
      <vt:lpstr>'GMIC_2020-Annu_SCDPT1'!SCDPT1_1999999_15</vt:lpstr>
      <vt:lpstr>'GMIC_2020-Annu_SCDPT1'!SCDPT1_1999999_19</vt:lpstr>
      <vt:lpstr>'GMIC_2020-Annu_SCDPT1'!SCDPT1_1999999_20</vt:lpstr>
      <vt:lpstr>'GMIC_2020-Annu_SCDPT1'!SCDPT1_1999999_7</vt:lpstr>
      <vt:lpstr>'GMIC_2020-Annu_SCDPT1'!SCDPT1_1999999_9</vt:lpstr>
      <vt:lpstr>'GMIC_2020-Annu_SCDPT1'!SCDPT1_19BEGIN_1</vt:lpstr>
      <vt:lpstr>'GMIC_2020-Annu_SCDPT1'!SCDPT1_19BEGIN_10</vt:lpstr>
      <vt:lpstr>'GMIC_2020-Annu_SCDPT1'!SCDPT1_19BEGIN_11</vt:lpstr>
      <vt:lpstr>'GMIC_2020-Annu_SCDPT1'!SCDPT1_19BEGIN_12</vt:lpstr>
      <vt:lpstr>'GMIC_2020-Annu_SCDPT1'!SCDPT1_19BEGIN_13</vt:lpstr>
      <vt:lpstr>'GMIC_2020-Annu_SCDPT1'!SCDPT1_19BEGIN_14</vt:lpstr>
      <vt:lpstr>'GMIC_2020-Annu_SCDPT1'!SCDPT1_19BEGIN_15</vt:lpstr>
      <vt:lpstr>'GMIC_2020-Annu_SCDPT1'!SCDPT1_19BEGIN_16</vt:lpstr>
      <vt:lpstr>'GMIC_2020-Annu_SCDPT1'!SCDPT1_19BEGIN_17</vt:lpstr>
      <vt:lpstr>'GMIC_2020-Annu_SCDPT1'!SCDPT1_19BEGIN_18</vt:lpstr>
      <vt:lpstr>'GMIC_2020-Annu_SCDPT1'!SCDPT1_19BEGIN_19</vt:lpstr>
      <vt:lpstr>'GMIC_2020-Annu_SCDPT1'!SCDPT1_19BEGIN_2</vt:lpstr>
      <vt:lpstr>'GMIC_2020-Annu_SCDPT1'!SCDPT1_19BEGIN_20</vt:lpstr>
      <vt:lpstr>'GMIC_2020-Annu_SCDPT1'!SCDPT1_19BEGIN_21</vt:lpstr>
      <vt:lpstr>'GMIC_2020-Annu_SCDPT1'!SCDPT1_19BEGIN_22</vt:lpstr>
      <vt:lpstr>'GMIC_2020-Annu_SCDPT1'!SCDPT1_19BEGIN_23</vt:lpstr>
      <vt:lpstr>'GMIC_2020-Annu_SCDPT1'!SCDPT1_19BEGIN_24</vt:lpstr>
      <vt:lpstr>'GMIC_2020-Annu_SCDPT1'!SCDPT1_19BEGIN_25</vt:lpstr>
      <vt:lpstr>'GMIC_2020-Annu_SCDPT1'!SCDPT1_19BEGIN_26</vt:lpstr>
      <vt:lpstr>'GMIC_2020-Annu_SCDPT1'!SCDPT1_19BEGIN_27</vt:lpstr>
      <vt:lpstr>'GMIC_2020-Annu_SCDPT1'!SCDPT1_19BEGIN_28</vt:lpstr>
      <vt:lpstr>'GMIC_2020-Annu_SCDPT1'!SCDPT1_19BEGIN_29</vt:lpstr>
      <vt:lpstr>'GMIC_2020-Annu_SCDPT1'!SCDPT1_19BEGIN_3</vt:lpstr>
      <vt:lpstr>'GMIC_2020-Annu_SCDPT1'!SCDPT1_19BEGIN_30</vt:lpstr>
      <vt:lpstr>'GMIC_2020-Annu_SCDPT1'!SCDPT1_19BEGIN_31</vt:lpstr>
      <vt:lpstr>'GMIC_2020-Annu_SCDPT1'!SCDPT1_19BEGIN_32</vt:lpstr>
      <vt:lpstr>'GMIC_2020-Annu_SCDPT1'!SCDPT1_19BEGIN_33</vt:lpstr>
      <vt:lpstr>'GMIC_2020-Annu_SCDPT1'!SCDPT1_19BEGIN_34</vt:lpstr>
      <vt:lpstr>'GMIC_2020-Annu_SCDPT1'!SCDPT1_19BEGIN_35</vt:lpstr>
      <vt:lpstr>'GMIC_2020-Annu_SCDPT1'!SCDPT1_19BEGIN_4</vt:lpstr>
      <vt:lpstr>'GMIC_2020-Annu_SCDPT1'!SCDPT1_19BEGIN_5</vt:lpstr>
      <vt:lpstr>'GMIC_2020-Annu_SCDPT1'!SCDPT1_19BEGIN_6.01</vt:lpstr>
      <vt:lpstr>'GMIC_2020-Annu_SCDPT1'!SCDPT1_19BEGIN_6.02</vt:lpstr>
      <vt:lpstr>'GMIC_2020-Annu_SCDPT1'!SCDPT1_19BEGIN_6.03</vt:lpstr>
      <vt:lpstr>'GMIC_2020-Annu_SCDPT1'!SCDPT1_19BEGIN_7</vt:lpstr>
      <vt:lpstr>'GMIC_2020-Annu_SCDPT1'!SCDPT1_19BEGIN_8</vt:lpstr>
      <vt:lpstr>'GMIC_2020-Annu_SCDPT1'!SCDPT1_19BEGIN_9</vt:lpstr>
      <vt:lpstr>'GMIC_2020-Annu_SCDPT1'!SCDPT1_19ENDIN_10</vt:lpstr>
      <vt:lpstr>'GMIC_2020-Annu_SCDPT1'!SCDPT1_19ENDIN_11</vt:lpstr>
      <vt:lpstr>'GMIC_2020-Annu_SCDPT1'!SCDPT1_19ENDIN_12</vt:lpstr>
      <vt:lpstr>'GMIC_2020-Annu_SCDPT1'!SCDPT1_19ENDIN_13</vt:lpstr>
      <vt:lpstr>'GMIC_2020-Annu_SCDPT1'!SCDPT1_19ENDIN_14</vt:lpstr>
      <vt:lpstr>'GMIC_2020-Annu_SCDPT1'!SCDPT1_19ENDIN_15</vt:lpstr>
      <vt:lpstr>'GMIC_2020-Annu_SCDPT1'!SCDPT1_19ENDIN_16</vt:lpstr>
      <vt:lpstr>'GMIC_2020-Annu_SCDPT1'!SCDPT1_19ENDIN_17</vt:lpstr>
      <vt:lpstr>'GMIC_2020-Annu_SCDPT1'!SCDPT1_19ENDIN_18</vt:lpstr>
      <vt:lpstr>'GMIC_2020-Annu_SCDPT1'!SCDPT1_19ENDIN_19</vt:lpstr>
      <vt:lpstr>'GMIC_2020-Annu_SCDPT1'!SCDPT1_19ENDIN_2</vt:lpstr>
      <vt:lpstr>'GMIC_2020-Annu_SCDPT1'!SCDPT1_19ENDIN_20</vt:lpstr>
      <vt:lpstr>'GMIC_2020-Annu_SCDPT1'!SCDPT1_19ENDIN_21</vt:lpstr>
      <vt:lpstr>'GMIC_2020-Annu_SCDPT1'!SCDPT1_19ENDIN_22</vt:lpstr>
      <vt:lpstr>'GMIC_2020-Annu_SCDPT1'!SCDPT1_19ENDIN_23</vt:lpstr>
      <vt:lpstr>'GMIC_2020-Annu_SCDPT1'!SCDPT1_19ENDIN_24</vt:lpstr>
      <vt:lpstr>'GMIC_2020-Annu_SCDPT1'!SCDPT1_19ENDIN_25</vt:lpstr>
      <vt:lpstr>'GMIC_2020-Annu_SCDPT1'!SCDPT1_19ENDIN_26</vt:lpstr>
      <vt:lpstr>'GMIC_2020-Annu_SCDPT1'!SCDPT1_19ENDIN_27</vt:lpstr>
      <vt:lpstr>'GMIC_2020-Annu_SCDPT1'!SCDPT1_19ENDIN_28</vt:lpstr>
      <vt:lpstr>'GMIC_2020-Annu_SCDPT1'!SCDPT1_19ENDIN_29</vt:lpstr>
      <vt:lpstr>'GMIC_2020-Annu_SCDPT1'!SCDPT1_19ENDIN_3</vt:lpstr>
      <vt:lpstr>'GMIC_2020-Annu_SCDPT1'!SCDPT1_19ENDIN_30</vt:lpstr>
      <vt:lpstr>'GMIC_2020-Annu_SCDPT1'!SCDPT1_19ENDIN_31</vt:lpstr>
      <vt:lpstr>'GMIC_2020-Annu_SCDPT1'!SCDPT1_19ENDIN_32</vt:lpstr>
      <vt:lpstr>'GMIC_2020-Annu_SCDPT1'!SCDPT1_19ENDIN_33</vt:lpstr>
      <vt:lpstr>'GMIC_2020-Annu_SCDPT1'!SCDPT1_19ENDIN_34</vt:lpstr>
      <vt:lpstr>'GMIC_2020-Annu_SCDPT1'!SCDPT1_19ENDIN_35</vt:lpstr>
      <vt:lpstr>'GMIC_2020-Annu_SCDPT1'!SCDPT1_19ENDIN_4</vt:lpstr>
      <vt:lpstr>'GMIC_2020-Annu_SCDPT1'!SCDPT1_19ENDIN_5</vt:lpstr>
      <vt:lpstr>'GMIC_2020-Annu_SCDPT1'!SCDPT1_19ENDIN_6.01</vt:lpstr>
      <vt:lpstr>'GMIC_2020-Annu_SCDPT1'!SCDPT1_19ENDIN_6.02</vt:lpstr>
      <vt:lpstr>'GMIC_2020-Annu_SCDPT1'!SCDPT1_19ENDIN_6.03</vt:lpstr>
      <vt:lpstr>'GMIC_2020-Annu_SCDPT1'!SCDPT1_19ENDIN_7</vt:lpstr>
      <vt:lpstr>'GMIC_2020-Annu_SCDPT1'!SCDPT1_19ENDIN_8</vt:lpstr>
      <vt:lpstr>'GMIC_2020-Annu_SCDPT1'!SCDPT1_19ENDIN_9</vt:lpstr>
      <vt:lpstr>'GMIC_2020-Annu_SCDPT1'!SCDPT1_2000000_Range</vt:lpstr>
      <vt:lpstr>'GMIC_2020-Annu_SCDPT1'!SCDPT1_2099999_10</vt:lpstr>
      <vt:lpstr>'GMIC_2020-Annu_SCDPT1'!SCDPT1_2099999_11</vt:lpstr>
      <vt:lpstr>'GMIC_2020-Annu_SCDPT1'!SCDPT1_2099999_12</vt:lpstr>
      <vt:lpstr>'GMIC_2020-Annu_SCDPT1'!SCDPT1_2099999_13</vt:lpstr>
      <vt:lpstr>'GMIC_2020-Annu_SCDPT1'!SCDPT1_2099999_14</vt:lpstr>
      <vt:lpstr>'GMIC_2020-Annu_SCDPT1'!SCDPT1_2099999_15</vt:lpstr>
      <vt:lpstr>'GMIC_2020-Annu_SCDPT1'!SCDPT1_2099999_19</vt:lpstr>
      <vt:lpstr>'GMIC_2020-Annu_SCDPT1'!SCDPT1_2099999_20</vt:lpstr>
      <vt:lpstr>'GMIC_2020-Annu_SCDPT1'!SCDPT1_2099999_7</vt:lpstr>
      <vt:lpstr>'GMIC_2020-Annu_SCDPT1'!SCDPT1_2099999_9</vt:lpstr>
      <vt:lpstr>'GMIC_2020-Annu_SCDPT1'!SCDPT1_20BEGIN_1</vt:lpstr>
      <vt:lpstr>'GMIC_2020-Annu_SCDPT1'!SCDPT1_20BEGIN_10</vt:lpstr>
      <vt:lpstr>'GMIC_2020-Annu_SCDPT1'!SCDPT1_20BEGIN_11</vt:lpstr>
      <vt:lpstr>'GMIC_2020-Annu_SCDPT1'!SCDPT1_20BEGIN_12</vt:lpstr>
      <vt:lpstr>'GMIC_2020-Annu_SCDPT1'!SCDPT1_20BEGIN_13</vt:lpstr>
      <vt:lpstr>'GMIC_2020-Annu_SCDPT1'!SCDPT1_20BEGIN_14</vt:lpstr>
      <vt:lpstr>'GMIC_2020-Annu_SCDPT1'!SCDPT1_20BEGIN_15</vt:lpstr>
      <vt:lpstr>'GMIC_2020-Annu_SCDPT1'!SCDPT1_20BEGIN_16</vt:lpstr>
      <vt:lpstr>'GMIC_2020-Annu_SCDPT1'!SCDPT1_20BEGIN_17</vt:lpstr>
      <vt:lpstr>'GMIC_2020-Annu_SCDPT1'!SCDPT1_20BEGIN_18</vt:lpstr>
      <vt:lpstr>'GMIC_2020-Annu_SCDPT1'!SCDPT1_20BEGIN_19</vt:lpstr>
      <vt:lpstr>'GMIC_2020-Annu_SCDPT1'!SCDPT1_20BEGIN_2</vt:lpstr>
      <vt:lpstr>'GMIC_2020-Annu_SCDPT1'!SCDPT1_20BEGIN_20</vt:lpstr>
      <vt:lpstr>'GMIC_2020-Annu_SCDPT1'!SCDPT1_20BEGIN_21</vt:lpstr>
      <vt:lpstr>'GMIC_2020-Annu_SCDPT1'!SCDPT1_20BEGIN_22</vt:lpstr>
      <vt:lpstr>'GMIC_2020-Annu_SCDPT1'!SCDPT1_20BEGIN_23</vt:lpstr>
      <vt:lpstr>'GMIC_2020-Annu_SCDPT1'!SCDPT1_20BEGIN_24</vt:lpstr>
      <vt:lpstr>'GMIC_2020-Annu_SCDPT1'!SCDPT1_20BEGIN_25</vt:lpstr>
      <vt:lpstr>'GMIC_2020-Annu_SCDPT1'!SCDPT1_20BEGIN_26</vt:lpstr>
      <vt:lpstr>'GMIC_2020-Annu_SCDPT1'!SCDPT1_20BEGIN_27</vt:lpstr>
      <vt:lpstr>'GMIC_2020-Annu_SCDPT1'!SCDPT1_20BEGIN_28</vt:lpstr>
      <vt:lpstr>'GMIC_2020-Annu_SCDPT1'!SCDPT1_20BEGIN_29</vt:lpstr>
      <vt:lpstr>'GMIC_2020-Annu_SCDPT1'!SCDPT1_20BEGIN_3</vt:lpstr>
      <vt:lpstr>'GMIC_2020-Annu_SCDPT1'!SCDPT1_20BEGIN_30</vt:lpstr>
      <vt:lpstr>'GMIC_2020-Annu_SCDPT1'!SCDPT1_20BEGIN_31</vt:lpstr>
      <vt:lpstr>'GMIC_2020-Annu_SCDPT1'!SCDPT1_20BEGIN_32</vt:lpstr>
      <vt:lpstr>'GMIC_2020-Annu_SCDPT1'!SCDPT1_20BEGIN_33</vt:lpstr>
      <vt:lpstr>'GMIC_2020-Annu_SCDPT1'!SCDPT1_20BEGIN_34</vt:lpstr>
      <vt:lpstr>'GMIC_2020-Annu_SCDPT1'!SCDPT1_20BEGIN_35</vt:lpstr>
      <vt:lpstr>'GMIC_2020-Annu_SCDPT1'!SCDPT1_20BEGIN_4</vt:lpstr>
      <vt:lpstr>'GMIC_2020-Annu_SCDPT1'!SCDPT1_20BEGIN_5</vt:lpstr>
      <vt:lpstr>'GMIC_2020-Annu_SCDPT1'!SCDPT1_20BEGIN_6.01</vt:lpstr>
      <vt:lpstr>'GMIC_2020-Annu_SCDPT1'!SCDPT1_20BEGIN_6.02</vt:lpstr>
      <vt:lpstr>'GMIC_2020-Annu_SCDPT1'!SCDPT1_20BEGIN_6.03</vt:lpstr>
      <vt:lpstr>'GMIC_2020-Annu_SCDPT1'!SCDPT1_20BEGIN_7</vt:lpstr>
      <vt:lpstr>'GMIC_2020-Annu_SCDPT1'!SCDPT1_20BEGIN_8</vt:lpstr>
      <vt:lpstr>'GMIC_2020-Annu_SCDPT1'!SCDPT1_20BEGIN_9</vt:lpstr>
      <vt:lpstr>'GMIC_2020-Annu_SCDPT1'!SCDPT1_20ENDIN_10</vt:lpstr>
      <vt:lpstr>'GMIC_2020-Annu_SCDPT1'!SCDPT1_20ENDIN_11</vt:lpstr>
      <vt:lpstr>'GMIC_2020-Annu_SCDPT1'!SCDPT1_20ENDIN_12</vt:lpstr>
      <vt:lpstr>'GMIC_2020-Annu_SCDPT1'!SCDPT1_20ENDIN_13</vt:lpstr>
      <vt:lpstr>'GMIC_2020-Annu_SCDPT1'!SCDPT1_20ENDIN_14</vt:lpstr>
      <vt:lpstr>'GMIC_2020-Annu_SCDPT1'!SCDPT1_20ENDIN_15</vt:lpstr>
      <vt:lpstr>'GMIC_2020-Annu_SCDPT1'!SCDPT1_20ENDIN_16</vt:lpstr>
      <vt:lpstr>'GMIC_2020-Annu_SCDPT1'!SCDPT1_20ENDIN_17</vt:lpstr>
      <vt:lpstr>'GMIC_2020-Annu_SCDPT1'!SCDPT1_20ENDIN_18</vt:lpstr>
      <vt:lpstr>'GMIC_2020-Annu_SCDPT1'!SCDPT1_20ENDIN_19</vt:lpstr>
      <vt:lpstr>'GMIC_2020-Annu_SCDPT1'!SCDPT1_20ENDIN_2</vt:lpstr>
      <vt:lpstr>'GMIC_2020-Annu_SCDPT1'!SCDPT1_20ENDIN_20</vt:lpstr>
      <vt:lpstr>'GMIC_2020-Annu_SCDPT1'!SCDPT1_20ENDIN_21</vt:lpstr>
      <vt:lpstr>'GMIC_2020-Annu_SCDPT1'!SCDPT1_20ENDIN_22</vt:lpstr>
      <vt:lpstr>'GMIC_2020-Annu_SCDPT1'!SCDPT1_20ENDIN_23</vt:lpstr>
      <vt:lpstr>'GMIC_2020-Annu_SCDPT1'!SCDPT1_20ENDIN_24</vt:lpstr>
      <vt:lpstr>'GMIC_2020-Annu_SCDPT1'!SCDPT1_20ENDIN_25</vt:lpstr>
      <vt:lpstr>'GMIC_2020-Annu_SCDPT1'!SCDPT1_20ENDIN_26</vt:lpstr>
      <vt:lpstr>'GMIC_2020-Annu_SCDPT1'!SCDPT1_20ENDIN_27</vt:lpstr>
      <vt:lpstr>'GMIC_2020-Annu_SCDPT1'!SCDPT1_20ENDIN_28</vt:lpstr>
      <vt:lpstr>'GMIC_2020-Annu_SCDPT1'!SCDPT1_20ENDIN_29</vt:lpstr>
      <vt:lpstr>'GMIC_2020-Annu_SCDPT1'!SCDPT1_20ENDIN_3</vt:lpstr>
      <vt:lpstr>'GMIC_2020-Annu_SCDPT1'!SCDPT1_20ENDIN_30</vt:lpstr>
      <vt:lpstr>'GMIC_2020-Annu_SCDPT1'!SCDPT1_20ENDIN_31</vt:lpstr>
      <vt:lpstr>'GMIC_2020-Annu_SCDPT1'!SCDPT1_20ENDIN_32</vt:lpstr>
      <vt:lpstr>'GMIC_2020-Annu_SCDPT1'!SCDPT1_20ENDIN_33</vt:lpstr>
      <vt:lpstr>'GMIC_2020-Annu_SCDPT1'!SCDPT1_20ENDIN_34</vt:lpstr>
      <vt:lpstr>'GMIC_2020-Annu_SCDPT1'!SCDPT1_20ENDIN_35</vt:lpstr>
      <vt:lpstr>'GMIC_2020-Annu_SCDPT1'!SCDPT1_20ENDIN_4</vt:lpstr>
      <vt:lpstr>'GMIC_2020-Annu_SCDPT1'!SCDPT1_20ENDIN_5</vt:lpstr>
      <vt:lpstr>'GMIC_2020-Annu_SCDPT1'!SCDPT1_20ENDIN_6.01</vt:lpstr>
      <vt:lpstr>'GMIC_2020-Annu_SCDPT1'!SCDPT1_20ENDIN_6.02</vt:lpstr>
      <vt:lpstr>'GMIC_2020-Annu_SCDPT1'!SCDPT1_20ENDIN_6.03</vt:lpstr>
      <vt:lpstr>'GMIC_2020-Annu_SCDPT1'!SCDPT1_20ENDIN_7</vt:lpstr>
      <vt:lpstr>'GMIC_2020-Annu_SCDPT1'!SCDPT1_20ENDIN_8</vt:lpstr>
      <vt:lpstr>'GMIC_2020-Annu_SCDPT1'!SCDPT1_20ENDIN_9</vt:lpstr>
      <vt:lpstr>'GMIC_2020-Annu_SCDPT1'!SCDPT1_2100000_Range</vt:lpstr>
      <vt:lpstr>'GMIC_2020-Annu_SCDPT1'!SCDPT1_2199999_10</vt:lpstr>
      <vt:lpstr>'GMIC_2020-Annu_SCDPT1'!SCDPT1_2199999_11</vt:lpstr>
      <vt:lpstr>'GMIC_2020-Annu_SCDPT1'!SCDPT1_2199999_12</vt:lpstr>
      <vt:lpstr>'GMIC_2020-Annu_SCDPT1'!SCDPT1_2199999_13</vt:lpstr>
      <vt:lpstr>'GMIC_2020-Annu_SCDPT1'!SCDPT1_2199999_14</vt:lpstr>
      <vt:lpstr>'GMIC_2020-Annu_SCDPT1'!SCDPT1_2199999_15</vt:lpstr>
      <vt:lpstr>'GMIC_2020-Annu_SCDPT1'!SCDPT1_2199999_19</vt:lpstr>
      <vt:lpstr>'GMIC_2020-Annu_SCDPT1'!SCDPT1_2199999_20</vt:lpstr>
      <vt:lpstr>'GMIC_2020-Annu_SCDPT1'!SCDPT1_2199999_7</vt:lpstr>
      <vt:lpstr>'GMIC_2020-Annu_SCDPT1'!SCDPT1_2199999_9</vt:lpstr>
      <vt:lpstr>'GMIC_2020-Annu_SCDPT1'!SCDPT1_21BEGIN_1</vt:lpstr>
      <vt:lpstr>'GMIC_2020-Annu_SCDPT1'!SCDPT1_21BEGIN_10</vt:lpstr>
      <vt:lpstr>'GMIC_2020-Annu_SCDPT1'!SCDPT1_21BEGIN_11</vt:lpstr>
      <vt:lpstr>'GMIC_2020-Annu_SCDPT1'!SCDPT1_21BEGIN_12</vt:lpstr>
      <vt:lpstr>'GMIC_2020-Annu_SCDPT1'!SCDPT1_21BEGIN_13</vt:lpstr>
      <vt:lpstr>'GMIC_2020-Annu_SCDPT1'!SCDPT1_21BEGIN_14</vt:lpstr>
      <vt:lpstr>'GMIC_2020-Annu_SCDPT1'!SCDPT1_21BEGIN_15</vt:lpstr>
      <vt:lpstr>'GMIC_2020-Annu_SCDPT1'!SCDPT1_21BEGIN_16</vt:lpstr>
      <vt:lpstr>'GMIC_2020-Annu_SCDPT1'!SCDPT1_21BEGIN_17</vt:lpstr>
      <vt:lpstr>'GMIC_2020-Annu_SCDPT1'!SCDPT1_21BEGIN_18</vt:lpstr>
      <vt:lpstr>'GMIC_2020-Annu_SCDPT1'!SCDPT1_21BEGIN_19</vt:lpstr>
      <vt:lpstr>'GMIC_2020-Annu_SCDPT1'!SCDPT1_21BEGIN_2</vt:lpstr>
      <vt:lpstr>'GMIC_2020-Annu_SCDPT1'!SCDPT1_21BEGIN_20</vt:lpstr>
      <vt:lpstr>'GMIC_2020-Annu_SCDPT1'!SCDPT1_21BEGIN_21</vt:lpstr>
      <vt:lpstr>'GMIC_2020-Annu_SCDPT1'!SCDPT1_21BEGIN_22</vt:lpstr>
      <vt:lpstr>'GMIC_2020-Annu_SCDPT1'!SCDPT1_21BEGIN_23</vt:lpstr>
      <vt:lpstr>'GMIC_2020-Annu_SCDPT1'!SCDPT1_21BEGIN_24</vt:lpstr>
      <vt:lpstr>'GMIC_2020-Annu_SCDPT1'!SCDPT1_21BEGIN_25</vt:lpstr>
      <vt:lpstr>'GMIC_2020-Annu_SCDPT1'!SCDPT1_21BEGIN_26</vt:lpstr>
      <vt:lpstr>'GMIC_2020-Annu_SCDPT1'!SCDPT1_21BEGIN_27</vt:lpstr>
      <vt:lpstr>'GMIC_2020-Annu_SCDPT1'!SCDPT1_21BEGIN_28</vt:lpstr>
      <vt:lpstr>'GMIC_2020-Annu_SCDPT1'!SCDPT1_21BEGIN_29</vt:lpstr>
      <vt:lpstr>'GMIC_2020-Annu_SCDPT1'!SCDPT1_21BEGIN_3</vt:lpstr>
      <vt:lpstr>'GMIC_2020-Annu_SCDPT1'!SCDPT1_21BEGIN_30</vt:lpstr>
      <vt:lpstr>'GMIC_2020-Annu_SCDPT1'!SCDPT1_21BEGIN_31</vt:lpstr>
      <vt:lpstr>'GMIC_2020-Annu_SCDPT1'!SCDPT1_21BEGIN_32</vt:lpstr>
      <vt:lpstr>'GMIC_2020-Annu_SCDPT1'!SCDPT1_21BEGIN_33</vt:lpstr>
      <vt:lpstr>'GMIC_2020-Annu_SCDPT1'!SCDPT1_21BEGIN_34</vt:lpstr>
      <vt:lpstr>'GMIC_2020-Annu_SCDPT1'!SCDPT1_21BEGIN_35</vt:lpstr>
      <vt:lpstr>'GMIC_2020-Annu_SCDPT1'!SCDPT1_21BEGIN_4</vt:lpstr>
      <vt:lpstr>'GMIC_2020-Annu_SCDPT1'!SCDPT1_21BEGIN_5</vt:lpstr>
      <vt:lpstr>'GMIC_2020-Annu_SCDPT1'!SCDPT1_21BEGIN_6.01</vt:lpstr>
      <vt:lpstr>'GMIC_2020-Annu_SCDPT1'!SCDPT1_21BEGIN_6.02</vt:lpstr>
      <vt:lpstr>'GMIC_2020-Annu_SCDPT1'!SCDPT1_21BEGIN_6.03</vt:lpstr>
      <vt:lpstr>'GMIC_2020-Annu_SCDPT1'!SCDPT1_21BEGIN_7</vt:lpstr>
      <vt:lpstr>'GMIC_2020-Annu_SCDPT1'!SCDPT1_21BEGIN_8</vt:lpstr>
      <vt:lpstr>'GMIC_2020-Annu_SCDPT1'!SCDPT1_21BEGIN_9</vt:lpstr>
      <vt:lpstr>'GMIC_2020-Annu_SCDPT1'!SCDPT1_21ENDIN_10</vt:lpstr>
      <vt:lpstr>'GMIC_2020-Annu_SCDPT1'!SCDPT1_21ENDIN_11</vt:lpstr>
      <vt:lpstr>'GMIC_2020-Annu_SCDPT1'!SCDPT1_21ENDIN_12</vt:lpstr>
      <vt:lpstr>'GMIC_2020-Annu_SCDPT1'!SCDPT1_21ENDIN_13</vt:lpstr>
      <vt:lpstr>'GMIC_2020-Annu_SCDPT1'!SCDPT1_21ENDIN_14</vt:lpstr>
      <vt:lpstr>'GMIC_2020-Annu_SCDPT1'!SCDPT1_21ENDIN_15</vt:lpstr>
      <vt:lpstr>'GMIC_2020-Annu_SCDPT1'!SCDPT1_21ENDIN_16</vt:lpstr>
      <vt:lpstr>'GMIC_2020-Annu_SCDPT1'!SCDPT1_21ENDIN_17</vt:lpstr>
      <vt:lpstr>'GMIC_2020-Annu_SCDPT1'!SCDPT1_21ENDIN_18</vt:lpstr>
      <vt:lpstr>'GMIC_2020-Annu_SCDPT1'!SCDPT1_21ENDIN_19</vt:lpstr>
      <vt:lpstr>'GMIC_2020-Annu_SCDPT1'!SCDPT1_21ENDIN_2</vt:lpstr>
      <vt:lpstr>'GMIC_2020-Annu_SCDPT1'!SCDPT1_21ENDIN_20</vt:lpstr>
      <vt:lpstr>'GMIC_2020-Annu_SCDPT1'!SCDPT1_21ENDIN_21</vt:lpstr>
      <vt:lpstr>'GMIC_2020-Annu_SCDPT1'!SCDPT1_21ENDIN_22</vt:lpstr>
      <vt:lpstr>'GMIC_2020-Annu_SCDPT1'!SCDPT1_21ENDIN_23</vt:lpstr>
      <vt:lpstr>'GMIC_2020-Annu_SCDPT1'!SCDPT1_21ENDIN_24</vt:lpstr>
      <vt:lpstr>'GMIC_2020-Annu_SCDPT1'!SCDPT1_21ENDIN_25</vt:lpstr>
      <vt:lpstr>'GMIC_2020-Annu_SCDPT1'!SCDPT1_21ENDIN_26</vt:lpstr>
      <vt:lpstr>'GMIC_2020-Annu_SCDPT1'!SCDPT1_21ENDIN_27</vt:lpstr>
      <vt:lpstr>'GMIC_2020-Annu_SCDPT1'!SCDPT1_21ENDIN_28</vt:lpstr>
      <vt:lpstr>'GMIC_2020-Annu_SCDPT1'!SCDPT1_21ENDIN_29</vt:lpstr>
      <vt:lpstr>'GMIC_2020-Annu_SCDPT1'!SCDPT1_21ENDIN_3</vt:lpstr>
      <vt:lpstr>'GMIC_2020-Annu_SCDPT1'!SCDPT1_21ENDIN_30</vt:lpstr>
      <vt:lpstr>'GMIC_2020-Annu_SCDPT1'!SCDPT1_21ENDIN_31</vt:lpstr>
      <vt:lpstr>'GMIC_2020-Annu_SCDPT1'!SCDPT1_21ENDIN_32</vt:lpstr>
      <vt:lpstr>'GMIC_2020-Annu_SCDPT1'!SCDPT1_21ENDIN_33</vt:lpstr>
      <vt:lpstr>'GMIC_2020-Annu_SCDPT1'!SCDPT1_21ENDIN_34</vt:lpstr>
      <vt:lpstr>'GMIC_2020-Annu_SCDPT1'!SCDPT1_21ENDIN_35</vt:lpstr>
      <vt:lpstr>'GMIC_2020-Annu_SCDPT1'!SCDPT1_21ENDIN_4</vt:lpstr>
      <vt:lpstr>'GMIC_2020-Annu_SCDPT1'!SCDPT1_21ENDIN_5</vt:lpstr>
      <vt:lpstr>'GMIC_2020-Annu_SCDPT1'!SCDPT1_21ENDIN_6.01</vt:lpstr>
      <vt:lpstr>'GMIC_2020-Annu_SCDPT1'!SCDPT1_21ENDIN_6.02</vt:lpstr>
      <vt:lpstr>'GMIC_2020-Annu_SCDPT1'!SCDPT1_21ENDIN_6.03</vt:lpstr>
      <vt:lpstr>'GMIC_2020-Annu_SCDPT1'!SCDPT1_21ENDIN_7</vt:lpstr>
      <vt:lpstr>'GMIC_2020-Annu_SCDPT1'!SCDPT1_21ENDIN_8</vt:lpstr>
      <vt:lpstr>'GMIC_2020-Annu_SCDPT1'!SCDPT1_21ENDIN_9</vt:lpstr>
      <vt:lpstr>'GMIC_2020-Annu_SCDPT1'!SCDPT1_2499999_10</vt:lpstr>
      <vt:lpstr>'GMIC_2020-Annu_SCDPT1'!SCDPT1_2499999_11</vt:lpstr>
      <vt:lpstr>'GMIC_2020-Annu_SCDPT1'!SCDPT1_2499999_12</vt:lpstr>
      <vt:lpstr>'GMIC_2020-Annu_SCDPT1'!SCDPT1_2499999_13</vt:lpstr>
      <vt:lpstr>'GMIC_2020-Annu_SCDPT1'!SCDPT1_2499999_14</vt:lpstr>
      <vt:lpstr>'GMIC_2020-Annu_SCDPT1'!SCDPT1_2499999_15</vt:lpstr>
      <vt:lpstr>'GMIC_2020-Annu_SCDPT1'!SCDPT1_2499999_19</vt:lpstr>
      <vt:lpstr>'GMIC_2020-Annu_SCDPT1'!SCDPT1_2499999_20</vt:lpstr>
      <vt:lpstr>'GMIC_2020-Annu_SCDPT1'!SCDPT1_2499999_7</vt:lpstr>
      <vt:lpstr>'GMIC_2020-Annu_SCDPT1'!SCDPT1_2499999_9</vt:lpstr>
      <vt:lpstr>'GMIC_2020-Annu_SCDPT1'!SCDPT1_2500000_Range</vt:lpstr>
      <vt:lpstr>'GMIC_2020-Annu_SCDPT1'!SCDPT1_2500001_1</vt:lpstr>
      <vt:lpstr>'GMIC_2020-Annu_SCDPT1'!SCDPT1_2500001_10</vt:lpstr>
      <vt:lpstr>'GMIC_2020-Annu_SCDPT1'!SCDPT1_2500001_11</vt:lpstr>
      <vt:lpstr>'GMIC_2020-Annu_SCDPT1'!SCDPT1_2500001_12</vt:lpstr>
      <vt:lpstr>'GMIC_2020-Annu_SCDPT1'!SCDPT1_2500001_13</vt:lpstr>
      <vt:lpstr>'GMIC_2020-Annu_SCDPT1'!SCDPT1_2500001_14</vt:lpstr>
      <vt:lpstr>'GMIC_2020-Annu_SCDPT1'!SCDPT1_2500001_15</vt:lpstr>
      <vt:lpstr>'GMIC_2020-Annu_SCDPT1'!SCDPT1_2500001_16</vt:lpstr>
      <vt:lpstr>'GMIC_2020-Annu_SCDPT1'!SCDPT1_2500001_17</vt:lpstr>
      <vt:lpstr>'GMIC_2020-Annu_SCDPT1'!SCDPT1_2500001_18</vt:lpstr>
      <vt:lpstr>'GMIC_2020-Annu_SCDPT1'!SCDPT1_2500001_19</vt:lpstr>
      <vt:lpstr>'GMIC_2020-Annu_SCDPT1'!SCDPT1_2500001_2</vt:lpstr>
      <vt:lpstr>'GMIC_2020-Annu_SCDPT1'!SCDPT1_2500001_20</vt:lpstr>
      <vt:lpstr>'GMIC_2020-Annu_SCDPT1'!SCDPT1_2500001_21</vt:lpstr>
      <vt:lpstr>'GMIC_2020-Annu_SCDPT1'!SCDPT1_2500001_22</vt:lpstr>
      <vt:lpstr>'GMIC_2020-Annu_SCDPT1'!SCDPT1_2500001_23</vt:lpstr>
      <vt:lpstr>'GMIC_2020-Annu_SCDPT1'!SCDPT1_2500001_24</vt:lpstr>
      <vt:lpstr>'GMIC_2020-Annu_SCDPT1'!SCDPT1_2500001_25</vt:lpstr>
      <vt:lpstr>'GMIC_2020-Annu_SCDPT1'!SCDPT1_2500001_27</vt:lpstr>
      <vt:lpstr>'GMIC_2020-Annu_SCDPT1'!SCDPT1_2500001_28</vt:lpstr>
      <vt:lpstr>'GMIC_2020-Annu_SCDPT1'!SCDPT1_2500001_29</vt:lpstr>
      <vt:lpstr>'GMIC_2020-Annu_SCDPT1'!SCDPT1_2500001_3</vt:lpstr>
      <vt:lpstr>'GMIC_2020-Annu_SCDPT1'!SCDPT1_2500001_30</vt:lpstr>
      <vt:lpstr>'GMIC_2020-Annu_SCDPT1'!SCDPT1_2500001_31</vt:lpstr>
      <vt:lpstr>'GMIC_2020-Annu_SCDPT1'!SCDPT1_2500001_32</vt:lpstr>
      <vt:lpstr>'GMIC_2020-Annu_SCDPT1'!SCDPT1_2500001_33</vt:lpstr>
      <vt:lpstr>'GMIC_2020-Annu_SCDPT1'!SCDPT1_2500001_34</vt:lpstr>
      <vt:lpstr>'GMIC_2020-Annu_SCDPT1'!SCDPT1_2500001_35</vt:lpstr>
      <vt:lpstr>'GMIC_2020-Annu_SCDPT1'!SCDPT1_2500001_4</vt:lpstr>
      <vt:lpstr>'GMIC_2020-Annu_SCDPT1'!SCDPT1_2500001_5</vt:lpstr>
      <vt:lpstr>'GMIC_2020-Annu_SCDPT1'!SCDPT1_2500001_6.01</vt:lpstr>
      <vt:lpstr>'GMIC_2020-Annu_SCDPT1'!SCDPT1_2500001_6.02</vt:lpstr>
      <vt:lpstr>'GMIC_2020-Annu_SCDPT1'!SCDPT1_2500001_6.03</vt:lpstr>
      <vt:lpstr>'GMIC_2020-Annu_SCDPT1'!SCDPT1_2500001_7</vt:lpstr>
      <vt:lpstr>'GMIC_2020-Annu_SCDPT1'!SCDPT1_2500001_8</vt:lpstr>
      <vt:lpstr>'GMIC_2020-Annu_SCDPT1'!SCDPT1_2500001_9</vt:lpstr>
      <vt:lpstr>'GMIC_2020-Annu_SCDPT1'!SCDPT1_2599999_10</vt:lpstr>
      <vt:lpstr>'GMIC_2020-Annu_SCDPT1'!SCDPT1_2599999_11</vt:lpstr>
      <vt:lpstr>'GMIC_2020-Annu_SCDPT1'!SCDPT1_2599999_12</vt:lpstr>
      <vt:lpstr>'GMIC_2020-Annu_SCDPT1'!SCDPT1_2599999_13</vt:lpstr>
      <vt:lpstr>'GMIC_2020-Annu_SCDPT1'!SCDPT1_2599999_14</vt:lpstr>
      <vt:lpstr>'GMIC_2020-Annu_SCDPT1'!SCDPT1_2599999_15</vt:lpstr>
      <vt:lpstr>'GMIC_2020-Annu_SCDPT1'!SCDPT1_2599999_19</vt:lpstr>
      <vt:lpstr>'GMIC_2020-Annu_SCDPT1'!SCDPT1_2599999_20</vt:lpstr>
      <vt:lpstr>'GMIC_2020-Annu_SCDPT1'!SCDPT1_2599999_7</vt:lpstr>
      <vt:lpstr>'GMIC_2020-Annu_SCDPT1'!SCDPT1_2599999_9</vt:lpstr>
      <vt:lpstr>'GMIC_2020-Annu_SCDPT1'!SCDPT1_25BEGIN_1</vt:lpstr>
      <vt:lpstr>'GMIC_2020-Annu_SCDPT1'!SCDPT1_25BEGIN_10</vt:lpstr>
      <vt:lpstr>'GMIC_2020-Annu_SCDPT1'!SCDPT1_25BEGIN_11</vt:lpstr>
      <vt:lpstr>'GMIC_2020-Annu_SCDPT1'!SCDPT1_25BEGIN_12</vt:lpstr>
      <vt:lpstr>'GMIC_2020-Annu_SCDPT1'!SCDPT1_25BEGIN_13</vt:lpstr>
      <vt:lpstr>'GMIC_2020-Annu_SCDPT1'!SCDPT1_25BEGIN_14</vt:lpstr>
      <vt:lpstr>'GMIC_2020-Annu_SCDPT1'!SCDPT1_25BEGIN_15</vt:lpstr>
      <vt:lpstr>'GMIC_2020-Annu_SCDPT1'!SCDPT1_25BEGIN_16</vt:lpstr>
      <vt:lpstr>'GMIC_2020-Annu_SCDPT1'!SCDPT1_25BEGIN_17</vt:lpstr>
      <vt:lpstr>'GMIC_2020-Annu_SCDPT1'!SCDPT1_25BEGIN_18</vt:lpstr>
      <vt:lpstr>'GMIC_2020-Annu_SCDPT1'!SCDPT1_25BEGIN_19</vt:lpstr>
      <vt:lpstr>'GMIC_2020-Annu_SCDPT1'!SCDPT1_25BEGIN_2</vt:lpstr>
      <vt:lpstr>'GMIC_2020-Annu_SCDPT1'!SCDPT1_25BEGIN_20</vt:lpstr>
      <vt:lpstr>'GMIC_2020-Annu_SCDPT1'!SCDPT1_25BEGIN_21</vt:lpstr>
      <vt:lpstr>'GMIC_2020-Annu_SCDPT1'!SCDPT1_25BEGIN_22</vt:lpstr>
      <vt:lpstr>'GMIC_2020-Annu_SCDPT1'!SCDPT1_25BEGIN_23</vt:lpstr>
      <vt:lpstr>'GMIC_2020-Annu_SCDPT1'!SCDPT1_25BEGIN_24</vt:lpstr>
      <vt:lpstr>'GMIC_2020-Annu_SCDPT1'!SCDPT1_25BEGIN_25</vt:lpstr>
      <vt:lpstr>'GMIC_2020-Annu_SCDPT1'!SCDPT1_25BEGIN_26</vt:lpstr>
      <vt:lpstr>'GMIC_2020-Annu_SCDPT1'!SCDPT1_25BEGIN_27</vt:lpstr>
      <vt:lpstr>'GMIC_2020-Annu_SCDPT1'!SCDPT1_25BEGIN_28</vt:lpstr>
      <vt:lpstr>'GMIC_2020-Annu_SCDPT1'!SCDPT1_25BEGIN_29</vt:lpstr>
      <vt:lpstr>'GMIC_2020-Annu_SCDPT1'!SCDPT1_25BEGIN_3</vt:lpstr>
      <vt:lpstr>'GMIC_2020-Annu_SCDPT1'!SCDPT1_25BEGIN_30</vt:lpstr>
      <vt:lpstr>'GMIC_2020-Annu_SCDPT1'!SCDPT1_25BEGIN_31</vt:lpstr>
      <vt:lpstr>'GMIC_2020-Annu_SCDPT1'!SCDPT1_25BEGIN_32</vt:lpstr>
      <vt:lpstr>'GMIC_2020-Annu_SCDPT1'!SCDPT1_25BEGIN_33</vt:lpstr>
      <vt:lpstr>'GMIC_2020-Annu_SCDPT1'!SCDPT1_25BEGIN_34</vt:lpstr>
      <vt:lpstr>'GMIC_2020-Annu_SCDPT1'!SCDPT1_25BEGIN_35</vt:lpstr>
      <vt:lpstr>'GMIC_2020-Annu_SCDPT1'!SCDPT1_25BEGIN_4</vt:lpstr>
      <vt:lpstr>'GMIC_2020-Annu_SCDPT1'!SCDPT1_25BEGIN_5</vt:lpstr>
      <vt:lpstr>'GMIC_2020-Annu_SCDPT1'!SCDPT1_25BEGIN_6.01</vt:lpstr>
      <vt:lpstr>'GMIC_2020-Annu_SCDPT1'!SCDPT1_25BEGIN_6.02</vt:lpstr>
      <vt:lpstr>'GMIC_2020-Annu_SCDPT1'!SCDPT1_25BEGIN_6.03</vt:lpstr>
      <vt:lpstr>'GMIC_2020-Annu_SCDPT1'!SCDPT1_25BEGIN_7</vt:lpstr>
      <vt:lpstr>'GMIC_2020-Annu_SCDPT1'!SCDPT1_25BEGIN_8</vt:lpstr>
      <vt:lpstr>'GMIC_2020-Annu_SCDPT1'!SCDPT1_25BEGIN_9</vt:lpstr>
      <vt:lpstr>'GMIC_2020-Annu_SCDPT1'!SCDPT1_25ENDIN_10</vt:lpstr>
      <vt:lpstr>'GMIC_2020-Annu_SCDPT1'!SCDPT1_25ENDIN_11</vt:lpstr>
      <vt:lpstr>'GMIC_2020-Annu_SCDPT1'!SCDPT1_25ENDIN_12</vt:lpstr>
      <vt:lpstr>'GMIC_2020-Annu_SCDPT1'!SCDPT1_25ENDIN_13</vt:lpstr>
      <vt:lpstr>'GMIC_2020-Annu_SCDPT1'!SCDPT1_25ENDIN_14</vt:lpstr>
      <vt:lpstr>'GMIC_2020-Annu_SCDPT1'!SCDPT1_25ENDIN_15</vt:lpstr>
      <vt:lpstr>'GMIC_2020-Annu_SCDPT1'!SCDPT1_25ENDIN_16</vt:lpstr>
      <vt:lpstr>'GMIC_2020-Annu_SCDPT1'!SCDPT1_25ENDIN_17</vt:lpstr>
      <vt:lpstr>'GMIC_2020-Annu_SCDPT1'!SCDPT1_25ENDIN_18</vt:lpstr>
      <vt:lpstr>'GMIC_2020-Annu_SCDPT1'!SCDPT1_25ENDIN_19</vt:lpstr>
      <vt:lpstr>'GMIC_2020-Annu_SCDPT1'!SCDPT1_25ENDIN_2</vt:lpstr>
      <vt:lpstr>'GMIC_2020-Annu_SCDPT1'!SCDPT1_25ENDIN_20</vt:lpstr>
      <vt:lpstr>'GMIC_2020-Annu_SCDPT1'!SCDPT1_25ENDIN_21</vt:lpstr>
      <vt:lpstr>'GMIC_2020-Annu_SCDPT1'!SCDPT1_25ENDIN_22</vt:lpstr>
      <vt:lpstr>'GMIC_2020-Annu_SCDPT1'!SCDPT1_25ENDIN_23</vt:lpstr>
      <vt:lpstr>'GMIC_2020-Annu_SCDPT1'!SCDPT1_25ENDIN_24</vt:lpstr>
      <vt:lpstr>'GMIC_2020-Annu_SCDPT1'!SCDPT1_25ENDIN_25</vt:lpstr>
      <vt:lpstr>'GMIC_2020-Annu_SCDPT1'!SCDPT1_25ENDIN_26</vt:lpstr>
      <vt:lpstr>'GMIC_2020-Annu_SCDPT1'!SCDPT1_25ENDIN_27</vt:lpstr>
      <vt:lpstr>'GMIC_2020-Annu_SCDPT1'!SCDPT1_25ENDIN_28</vt:lpstr>
      <vt:lpstr>'GMIC_2020-Annu_SCDPT1'!SCDPT1_25ENDIN_29</vt:lpstr>
      <vt:lpstr>'GMIC_2020-Annu_SCDPT1'!SCDPT1_25ENDIN_3</vt:lpstr>
      <vt:lpstr>'GMIC_2020-Annu_SCDPT1'!SCDPT1_25ENDIN_30</vt:lpstr>
      <vt:lpstr>'GMIC_2020-Annu_SCDPT1'!SCDPT1_25ENDIN_31</vt:lpstr>
      <vt:lpstr>'GMIC_2020-Annu_SCDPT1'!SCDPT1_25ENDIN_32</vt:lpstr>
      <vt:lpstr>'GMIC_2020-Annu_SCDPT1'!SCDPT1_25ENDIN_33</vt:lpstr>
      <vt:lpstr>'GMIC_2020-Annu_SCDPT1'!SCDPT1_25ENDIN_34</vt:lpstr>
      <vt:lpstr>'GMIC_2020-Annu_SCDPT1'!SCDPT1_25ENDIN_35</vt:lpstr>
      <vt:lpstr>'GMIC_2020-Annu_SCDPT1'!SCDPT1_25ENDIN_4</vt:lpstr>
      <vt:lpstr>'GMIC_2020-Annu_SCDPT1'!SCDPT1_25ENDIN_5</vt:lpstr>
      <vt:lpstr>'GMIC_2020-Annu_SCDPT1'!SCDPT1_25ENDIN_6.01</vt:lpstr>
      <vt:lpstr>'GMIC_2020-Annu_SCDPT1'!SCDPT1_25ENDIN_6.02</vt:lpstr>
      <vt:lpstr>'GMIC_2020-Annu_SCDPT1'!SCDPT1_25ENDIN_6.03</vt:lpstr>
      <vt:lpstr>'GMIC_2020-Annu_SCDPT1'!SCDPT1_25ENDIN_7</vt:lpstr>
      <vt:lpstr>'GMIC_2020-Annu_SCDPT1'!SCDPT1_25ENDIN_8</vt:lpstr>
      <vt:lpstr>'GMIC_2020-Annu_SCDPT1'!SCDPT1_25ENDIN_9</vt:lpstr>
      <vt:lpstr>'GMIC_2020-Annu_SCDPT1'!SCDPT1_2600000_Range</vt:lpstr>
      <vt:lpstr>'GMIC_2020-Annu_SCDPT1'!SCDPT1_2699999_10</vt:lpstr>
      <vt:lpstr>'GMIC_2020-Annu_SCDPT1'!SCDPT1_2699999_11</vt:lpstr>
      <vt:lpstr>'GMIC_2020-Annu_SCDPT1'!SCDPT1_2699999_12</vt:lpstr>
      <vt:lpstr>'GMIC_2020-Annu_SCDPT1'!SCDPT1_2699999_13</vt:lpstr>
      <vt:lpstr>'GMIC_2020-Annu_SCDPT1'!SCDPT1_2699999_14</vt:lpstr>
      <vt:lpstr>'GMIC_2020-Annu_SCDPT1'!SCDPT1_2699999_15</vt:lpstr>
      <vt:lpstr>'GMIC_2020-Annu_SCDPT1'!SCDPT1_2699999_19</vt:lpstr>
      <vt:lpstr>'GMIC_2020-Annu_SCDPT1'!SCDPT1_2699999_20</vt:lpstr>
      <vt:lpstr>'GMIC_2020-Annu_SCDPT1'!SCDPT1_2699999_7</vt:lpstr>
      <vt:lpstr>'GMIC_2020-Annu_SCDPT1'!SCDPT1_2699999_9</vt:lpstr>
      <vt:lpstr>'GMIC_2020-Annu_SCDPT1'!SCDPT1_26BEGIN_1</vt:lpstr>
      <vt:lpstr>'GMIC_2020-Annu_SCDPT1'!SCDPT1_26BEGIN_10</vt:lpstr>
      <vt:lpstr>'GMIC_2020-Annu_SCDPT1'!SCDPT1_26BEGIN_11</vt:lpstr>
      <vt:lpstr>'GMIC_2020-Annu_SCDPT1'!SCDPT1_26BEGIN_12</vt:lpstr>
      <vt:lpstr>'GMIC_2020-Annu_SCDPT1'!SCDPT1_26BEGIN_13</vt:lpstr>
      <vt:lpstr>'GMIC_2020-Annu_SCDPT1'!SCDPT1_26BEGIN_14</vt:lpstr>
      <vt:lpstr>'GMIC_2020-Annu_SCDPT1'!SCDPT1_26BEGIN_15</vt:lpstr>
      <vt:lpstr>'GMIC_2020-Annu_SCDPT1'!SCDPT1_26BEGIN_16</vt:lpstr>
      <vt:lpstr>'GMIC_2020-Annu_SCDPT1'!SCDPT1_26BEGIN_17</vt:lpstr>
      <vt:lpstr>'GMIC_2020-Annu_SCDPT1'!SCDPT1_26BEGIN_18</vt:lpstr>
      <vt:lpstr>'GMIC_2020-Annu_SCDPT1'!SCDPT1_26BEGIN_19</vt:lpstr>
      <vt:lpstr>'GMIC_2020-Annu_SCDPT1'!SCDPT1_26BEGIN_2</vt:lpstr>
      <vt:lpstr>'GMIC_2020-Annu_SCDPT1'!SCDPT1_26BEGIN_20</vt:lpstr>
      <vt:lpstr>'GMIC_2020-Annu_SCDPT1'!SCDPT1_26BEGIN_21</vt:lpstr>
      <vt:lpstr>'GMIC_2020-Annu_SCDPT1'!SCDPT1_26BEGIN_22</vt:lpstr>
      <vt:lpstr>'GMIC_2020-Annu_SCDPT1'!SCDPT1_26BEGIN_23</vt:lpstr>
      <vt:lpstr>'GMIC_2020-Annu_SCDPT1'!SCDPT1_26BEGIN_24</vt:lpstr>
      <vt:lpstr>'GMIC_2020-Annu_SCDPT1'!SCDPT1_26BEGIN_25</vt:lpstr>
      <vt:lpstr>'GMIC_2020-Annu_SCDPT1'!SCDPT1_26BEGIN_26</vt:lpstr>
      <vt:lpstr>'GMIC_2020-Annu_SCDPT1'!SCDPT1_26BEGIN_27</vt:lpstr>
      <vt:lpstr>'GMIC_2020-Annu_SCDPT1'!SCDPT1_26BEGIN_28</vt:lpstr>
      <vt:lpstr>'GMIC_2020-Annu_SCDPT1'!SCDPT1_26BEGIN_29</vt:lpstr>
      <vt:lpstr>'GMIC_2020-Annu_SCDPT1'!SCDPT1_26BEGIN_3</vt:lpstr>
      <vt:lpstr>'GMIC_2020-Annu_SCDPT1'!SCDPT1_26BEGIN_30</vt:lpstr>
      <vt:lpstr>'GMIC_2020-Annu_SCDPT1'!SCDPT1_26BEGIN_31</vt:lpstr>
      <vt:lpstr>'GMIC_2020-Annu_SCDPT1'!SCDPT1_26BEGIN_32</vt:lpstr>
      <vt:lpstr>'GMIC_2020-Annu_SCDPT1'!SCDPT1_26BEGIN_33</vt:lpstr>
      <vt:lpstr>'GMIC_2020-Annu_SCDPT1'!SCDPT1_26BEGIN_34</vt:lpstr>
      <vt:lpstr>'GMIC_2020-Annu_SCDPT1'!SCDPT1_26BEGIN_35</vt:lpstr>
      <vt:lpstr>'GMIC_2020-Annu_SCDPT1'!SCDPT1_26BEGIN_4</vt:lpstr>
      <vt:lpstr>'GMIC_2020-Annu_SCDPT1'!SCDPT1_26BEGIN_5</vt:lpstr>
      <vt:lpstr>'GMIC_2020-Annu_SCDPT1'!SCDPT1_26BEGIN_6.01</vt:lpstr>
      <vt:lpstr>'GMIC_2020-Annu_SCDPT1'!SCDPT1_26BEGIN_6.02</vt:lpstr>
      <vt:lpstr>'GMIC_2020-Annu_SCDPT1'!SCDPT1_26BEGIN_6.03</vt:lpstr>
      <vt:lpstr>'GMIC_2020-Annu_SCDPT1'!SCDPT1_26BEGIN_7</vt:lpstr>
      <vt:lpstr>'GMIC_2020-Annu_SCDPT1'!SCDPT1_26BEGIN_8</vt:lpstr>
      <vt:lpstr>'GMIC_2020-Annu_SCDPT1'!SCDPT1_26BEGIN_9</vt:lpstr>
      <vt:lpstr>'GMIC_2020-Annu_SCDPT1'!SCDPT1_26ENDIN_10</vt:lpstr>
      <vt:lpstr>'GMIC_2020-Annu_SCDPT1'!SCDPT1_26ENDIN_11</vt:lpstr>
      <vt:lpstr>'GMIC_2020-Annu_SCDPT1'!SCDPT1_26ENDIN_12</vt:lpstr>
      <vt:lpstr>'GMIC_2020-Annu_SCDPT1'!SCDPT1_26ENDIN_13</vt:lpstr>
      <vt:lpstr>'GMIC_2020-Annu_SCDPT1'!SCDPT1_26ENDIN_14</vt:lpstr>
      <vt:lpstr>'GMIC_2020-Annu_SCDPT1'!SCDPT1_26ENDIN_15</vt:lpstr>
      <vt:lpstr>'GMIC_2020-Annu_SCDPT1'!SCDPT1_26ENDIN_16</vt:lpstr>
      <vt:lpstr>'GMIC_2020-Annu_SCDPT1'!SCDPT1_26ENDIN_17</vt:lpstr>
      <vt:lpstr>'GMIC_2020-Annu_SCDPT1'!SCDPT1_26ENDIN_18</vt:lpstr>
      <vt:lpstr>'GMIC_2020-Annu_SCDPT1'!SCDPT1_26ENDIN_19</vt:lpstr>
      <vt:lpstr>'GMIC_2020-Annu_SCDPT1'!SCDPT1_26ENDIN_2</vt:lpstr>
      <vt:lpstr>'GMIC_2020-Annu_SCDPT1'!SCDPT1_26ENDIN_20</vt:lpstr>
      <vt:lpstr>'GMIC_2020-Annu_SCDPT1'!SCDPT1_26ENDIN_21</vt:lpstr>
      <vt:lpstr>'GMIC_2020-Annu_SCDPT1'!SCDPT1_26ENDIN_22</vt:lpstr>
      <vt:lpstr>'GMIC_2020-Annu_SCDPT1'!SCDPT1_26ENDIN_23</vt:lpstr>
      <vt:lpstr>'GMIC_2020-Annu_SCDPT1'!SCDPT1_26ENDIN_24</vt:lpstr>
      <vt:lpstr>'GMIC_2020-Annu_SCDPT1'!SCDPT1_26ENDIN_25</vt:lpstr>
      <vt:lpstr>'GMIC_2020-Annu_SCDPT1'!SCDPT1_26ENDIN_26</vt:lpstr>
      <vt:lpstr>'GMIC_2020-Annu_SCDPT1'!SCDPT1_26ENDIN_27</vt:lpstr>
      <vt:lpstr>'GMIC_2020-Annu_SCDPT1'!SCDPT1_26ENDIN_28</vt:lpstr>
      <vt:lpstr>'GMIC_2020-Annu_SCDPT1'!SCDPT1_26ENDIN_29</vt:lpstr>
      <vt:lpstr>'GMIC_2020-Annu_SCDPT1'!SCDPT1_26ENDIN_3</vt:lpstr>
      <vt:lpstr>'GMIC_2020-Annu_SCDPT1'!SCDPT1_26ENDIN_30</vt:lpstr>
      <vt:lpstr>'GMIC_2020-Annu_SCDPT1'!SCDPT1_26ENDIN_31</vt:lpstr>
      <vt:lpstr>'GMIC_2020-Annu_SCDPT1'!SCDPT1_26ENDIN_32</vt:lpstr>
      <vt:lpstr>'GMIC_2020-Annu_SCDPT1'!SCDPT1_26ENDIN_33</vt:lpstr>
      <vt:lpstr>'GMIC_2020-Annu_SCDPT1'!SCDPT1_26ENDIN_34</vt:lpstr>
      <vt:lpstr>'GMIC_2020-Annu_SCDPT1'!SCDPT1_26ENDIN_35</vt:lpstr>
      <vt:lpstr>'GMIC_2020-Annu_SCDPT1'!SCDPT1_26ENDIN_4</vt:lpstr>
      <vt:lpstr>'GMIC_2020-Annu_SCDPT1'!SCDPT1_26ENDIN_5</vt:lpstr>
      <vt:lpstr>'GMIC_2020-Annu_SCDPT1'!SCDPT1_26ENDIN_6.01</vt:lpstr>
      <vt:lpstr>'GMIC_2020-Annu_SCDPT1'!SCDPT1_26ENDIN_6.02</vt:lpstr>
      <vt:lpstr>'GMIC_2020-Annu_SCDPT1'!SCDPT1_26ENDIN_6.03</vt:lpstr>
      <vt:lpstr>'GMIC_2020-Annu_SCDPT1'!SCDPT1_26ENDIN_7</vt:lpstr>
      <vt:lpstr>'GMIC_2020-Annu_SCDPT1'!SCDPT1_26ENDIN_8</vt:lpstr>
      <vt:lpstr>'GMIC_2020-Annu_SCDPT1'!SCDPT1_26ENDIN_9</vt:lpstr>
      <vt:lpstr>'GMIC_2020-Annu_SCDPT1'!SCDPT1_2700000_Range</vt:lpstr>
      <vt:lpstr>'GMIC_2020-Annu_SCDPT1'!SCDPT1_2799999_10</vt:lpstr>
      <vt:lpstr>'GMIC_2020-Annu_SCDPT1'!SCDPT1_2799999_11</vt:lpstr>
      <vt:lpstr>'GMIC_2020-Annu_SCDPT1'!SCDPT1_2799999_12</vt:lpstr>
      <vt:lpstr>'GMIC_2020-Annu_SCDPT1'!SCDPT1_2799999_13</vt:lpstr>
      <vt:lpstr>'GMIC_2020-Annu_SCDPT1'!SCDPT1_2799999_14</vt:lpstr>
      <vt:lpstr>'GMIC_2020-Annu_SCDPT1'!SCDPT1_2799999_15</vt:lpstr>
      <vt:lpstr>'GMIC_2020-Annu_SCDPT1'!SCDPT1_2799999_19</vt:lpstr>
      <vt:lpstr>'GMIC_2020-Annu_SCDPT1'!SCDPT1_2799999_20</vt:lpstr>
      <vt:lpstr>'GMIC_2020-Annu_SCDPT1'!SCDPT1_2799999_7</vt:lpstr>
      <vt:lpstr>'GMIC_2020-Annu_SCDPT1'!SCDPT1_2799999_9</vt:lpstr>
      <vt:lpstr>'GMIC_2020-Annu_SCDPT1'!SCDPT1_27BEGIN_1</vt:lpstr>
      <vt:lpstr>'GMIC_2020-Annu_SCDPT1'!SCDPT1_27BEGIN_10</vt:lpstr>
      <vt:lpstr>'GMIC_2020-Annu_SCDPT1'!SCDPT1_27BEGIN_11</vt:lpstr>
      <vt:lpstr>'GMIC_2020-Annu_SCDPT1'!SCDPT1_27BEGIN_12</vt:lpstr>
      <vt:lpstr>'GMIC_2020-Annu_SCDPT1'!SCDPT1_27BEGIN_13</vt:lpstr>
      <vt:lpstr>'GMIC_2020-Annu_SCDPT1'!SCDPT1_27BEGIN_14</vt:lpstr>
      <vt:lpstr>'GMIC_2020-Annu_SCDPT1'!SCDPT1_27BEGIN_15</vt:lpstr>
      <vt:lpstr>'GMIC_2020-Annu_SCDPT1'!SCDPT1_27BEGIN_16</vt:lpstr>
      <vt:lpstr>'GMIC_2020-Annu_SCDPT1'!SCDPT1_27BEGIN_17</vt:lpstr>
      <vt:lpstr>'GMIC_2020-Annu_SCDPT1'!SCDPT1_27BEGIN_18</vt:lpstr>
      <vt:lpstr>'GMIC_2020-Annu_SCDPT1'!SCDPT1_27BEGIN_19</vt:lpstr>
      <vt:lpstr>'GMIC_2020-Annu_SCDPT1'!SCDPT1_27BEGIN_2</vt:lpstr>
      <vt:lpstr>'GMIC_2020-Annu_SCDPT1'!SCDPT1_27BEGIN_20</vt:lpstr>
      <vt:lpstr>'GMIC_2020-Annu_SCDPT1'!SCDPT1_27BEGIN_21</vt:lpstr>
      <vt:lpstr>'GMIC_2020-Annu_SCDPT1'!SCDPT1_27BEGIN_22</vt:lpstr>
      <vt:lpstr>'GMIC_2020-Annu_SCDPT1'!SCDPT1_27BEGIN_23</vt:lpstr>
      <vt:lpstr>'GMIC_2020-Annu_SCDPT1'!SCDPT1_27BEGIN_24</vt:lpstr>
      <vt:lpstr>'GMIC_2020-Annu_SCDPT1'!SCDPT1_27BEGIN_25</vt:lpstr>
      <vt:lpstr>'GMIC_2020-Annu_SCDPT1'!SCDPT1_27BEGIN_26</vt:lpstr>
      <vt:lpstr>'GMIC_2020-Annu_SCDPT1'!SCDPT1_27BEGIN_27</vt:lpstr>
      <vt:lpstr>'GMIC_2020-Annu_SCDPT1'!SCDPT1_27BEGIN_28</vt:lpstr>
      <vt:lpstr>'GMIC_2020-Annu_SCDPT1'!SCDPT1_27BEGIN_29</vt:lpstr>
      <vt:lpstr>'GMIC_2020-Annu_SCDPT1'!SCDPT1_27BEGIN_3</vt:lpstr>
      <vt:lpstr>'GMIC_2020-Annu_SCDPT1'!SCDPT1_27BEGIN_30</vt:lpstr>
      <vt:lpstr>'GMIC_2020-Annu_SCDPT1'!SCDPT1_27BEGIN_31</vt:lpstr>
      <vt:lpstr>'GMIC_2020-Annu_SCDPT1'!SCDPT1_27BEGIN_32</vt:lpstr>
      <vt:lpstr>'GMIC_2020-Annu_SCDPT1'!SCDPT1_27BEGIN_33</vt:lpstr>
      <vt:lpstr>'GMIC_2020-Annu_SCDPT1'!SCDPT1_27BEGIN_34</vt:lpstr>
      <vt:lpstr>'GMIC_2020-Annu_SCDPT1'!SCDPT1_27BEGIN_35</vt:lpstr>
      <vt:lpstr>'GMIC_2020-Annu_SCDPT1'!SCDPT1_27BEGIN_4</vt:lpstr>
      <vt:lpstr>'GMIC_2020-Annu_SCDPT1'!SCDPT1_27BEGIN_5</vt:lpstr>
      <vt:lpstr>'GMIC_2020-Annu_SCDPT1'!SCDPT1_27BEGIN_6.01</vt:lpstr>
      <vt:lpstr>'GMIC_2020-Annu_SCDPT1'!SCDPT1_27BEGIN_6.02</vt:lpstr>
      <vt:lpstr>'GMIC_2020-Annu_SCDPT1'!SCDPT1_27BEGIN_6.03</vt:lpstr>
      <vt:lpstr>'GMIC_2020-Annu_SCDPT1'!SCDPT1_27BEGIN_7</vt:lpstr>
      <vt:lpstr>'GMIC_2020-Annu_SCDPT1'!SCDPT1_27BEGIN_8</vt:lpstr>
      <vt:lpstr>'GMIC_2020-Annu_SCDPT1'!SCDPT1_27BEGIN_9</vt:lpstr>
      <vt:lpstr>'GMIC_2020-Annu_SCDPT1'!SCDPT1_27ENDIN_10</vt:lpstr>
      <vt:lpstr>'GMIC_2020-Annu_SCDPT1'!SCDPT1_27ENDIN_11</vt:lpstr>
      <vt:lpstr>'GMIC_2020-Annu_SCDPT1'!SCDPT1_27ENDIN_12</vt:lpstr>
      <vt:lpstr>'GMIC_2020-Annu_SCDPT1'!SCDPT1_27ENDIN_13</vt:lpstr>
      <vt:lpstr>'GMIC_2020-Annu_SCDPT1'!SCDPT1_27ENDIN_14</vt:lpstr>
      <vt:lpstr>'GMIC_2020-Annu_SCDPT1'!SCDPT1_27ENDIN_15</vt:lpstr>
      <vt:lpstr>'GMIC_2020-Annu_SCDPT1'!SCDPT1_27ENDIN_16</vt:lpstr>
      <vt:lpstr>'GMIC_2020-Annu_SCDPT1'!SCDPT1_27ENDIN_17</vt:lpstr>
      <vt:lpstr>'GMIC_2020-Annu_SCDPT1'!SCDPT1_27ENDIN_18</vt:lpstr>
      <vt:lpstr>'GMIC_2020-Annu_SCDPT1'!SCDPT1_27ENDIN_19</vt:lpstr>
      <vt:lpstr>'GMIC_2020-Annu_SCDPT1'!SCDPT1_27ENDIN_2</vt:lpstr>
      <vt:lpstr>'GMIC_2020-Annu_SCDPT1'!SCDPT1_27ENDIN_20</vt:lpstr>
      <vt:lpstr>'GMIC_2020-Annu_SCDPT1'!SCDPT1_27ENDIN_21</vt:lpstr>
      <vt:lpstr>'GMIC_2020-Annu_SCDPT1'!SCDPT1_27ENDIN_22</vt:lpstr>
      <vt:lpstr>'GMIC_2020-Annu_SCDPT1'!SCDPT1_27ENDIN_23</vt:lpstr>
      <vt:lpstr>'GMIC_2020-Annu_SCDPT1'!SCDPT1_27ENDIN_24</vt:lpstr>
      <vt:lpstr>'GMIC_2020-Annu_SCDPT1'!SCDPT1_27ENDIN_25</vt:lpstr>
      <vt:lpstr>'GMIC_2020-Annu_SCDPT1'!SCDPT1_27ENDIN_26</vt:lpstr>
      <vt:lpstr>'GMIC_2020-Annu_SCDPT1'!SCDPT1_27ENDIN_27</vt:lpstr>
      <vt:lpstr>'GMIC_2020-Annu_SCDPT1'!SCDPT1_27ENDIN_28</vt:lpstr>
      <vt:lpstr>'GMIC_2020-Annu_SCDPT1'!SCDPT1_27ENDIN_29</vt:lpstr>
      <vt:lpstr>'GMIC_2020-Annu_SCDPT1'!SCDPT1_27ENDIN_3</vt:lpstr>
      <vt:lpstr>'GMIC_2020-Annu_SCDPT1'!SCDPT1_27ENDIN_30</vt:lpstr>
      <vt:lpstr>'GMIC_2020-Annu_SCDPT1'!SCDPT1_27ENDIN_31</vt:lpstr>
      <vt:lpstr>'GMIC_2020-Annu_SCDPT1'!SCDPT1_27ENDIN_32</vt:lpstr>
      <vt:lpstr>'GMIC_2020-Annu_SCDPT1'!SCDPT1_27ENDIN_33</vt:lpstr>
      <vt:lpstr>'GMIC_2020-Annu_SCDPT1'!SCDPT1_27ENDIN_34</vt:lpstr>
      <vt:lpstr>'GMIC_2020-Annu_SCDPT1'!SCDPT1_27ENDIN_35</vt:lpstr>
      <vt:lpstr>'GMIC_2020-Annu_SCDPT1'!SCDPT1_27ENDIN_4</vt:lpstr>
      <vt:lpstr>'GMIC_2020-Annu_SCDPT1'!SCDPT1_27ENDIN_5</vt:lpstr>
      <vt:lpstr>'GMIC_2020-Annu_SCDPT1'!SCDPT1_27ENDIN_6.01</vt:lpstr>
      <vt:lpstr>'GMIC_2020-Annu_SCDPT1'!SCDPT1_27ENDIN_6.02</vt:lpstr>
      <vt:lpstr>'GMIC_2020-Annu_SCDPT1'!SCDPT1_27ENDIN_6.03</vt:lpstr>
      <vt:lpstr>'GMIC_2020-Annu_SCDPT1'!SCDPT1_27ENDIN_7</vt:lpstr>
      <vt:lpstr>'GMIC_2020-Annu_SCDPT1'!SCDPT1_27ENDIN_8</vt:lpstr>
      <vt:lpstr>'GMIC_2020-Annu_SCDPT1'!SCDPT1_27ENDIN_9</vt:lpstr>
      <vt:lpstr>'GMIC_2020-Annu_SCDPT1'!SCDPT1_2800000_Range</vt:lpstr>
      <vt:lpstr>'GMIC_2020-Annu_SCDPT1'!SCDPT1_2899999_10</vt:lpstr>
      <vt:lpstr>'GMIC_2020-Annu_SCDPT1'!SCDPT1_2899999_11</vt:lpstr>
      <vt:lpstr>'GMIC_2020-Annu_SCDPT1'!SCDPT1_2899999_12</vt:lpstr>
      <vt:lpstr>'GMIC_2020-Annu_SCDPT1'!SCDPT1_2899999_13</vt:lpstr>
      <vt:lpstr>'GMIC_2020-Annu_SCDPT1'!SCDPT1_2899999_14</vt:lpstr>
      <vt:lpstr>'GMIC_2020-Annu_SCDPT1'!SCDPT1_2899999_15</vt:lpstr>
      <vt:lpstr>'GMIC_2020-Annu_SCDPT1'!SCDPT1_2899999_19</vt:lpstr>
      <vt:lpstr>'GMIC_2020-Annu_SCDPT1'!SCDPT1_2899999_20</vt:lpstr>
      <vt:lpstr>'GMIC_2020-Annu_SCDPT1'!SCDPT1_2899999_7</vt:lpstr>
      <vt:lpstr>'GMIC_2020-Annu_SCDPT1'!SCDPT1_2899999_9</vt:lpstr>
      <vt:lpstr>'GMIC_2020-Annu_SCDPT1'!SCDPT1_28BEGIN_1</vt:lpstr>
      <vt:lpstr>'GMIC_2020-Annu_SCDPT1'!SCDPT1_28BEGIN_10</vt:lpstr>
      <vt:lpstr>'GMIC_2020-Annu_SCDPT1'!SCDPT1_28BEGIN_11</vt:lpstr>
      <vt:lpstr>'GMIC_2020-Annu_SCDPT1'!SCDPT1_28BEGIN_12</vt:lpstr>
      <vt:lpstr>'GMIC_2020-Annu_SCDPT1'!SCDPT1_28BEGIN_13</vt:lpstr>
      <vt:lpstr>'GMIC_2020-Annu_SCDPT1'!SCDPT1_28BEGIN_14</vt:lpstr>
      <vt:lpstr>'GMIC_2020-Annu_SCDPT1'!SCDPT1_28BEGIN_15</vt:lpstr>
      <vt:lpstr>'GMIC_2020-Annu_SCDPT1'!SCDPT1_28BEGIN_16</vt:lpstr>
      <vt:lpstr>'GMIC_2020-Annu_SCDPT1'!SCDPT1_28BEGIN_17</vt:lpstr>
      <vt:lpstr>'GMIC_2020-Annu_SCDPT1'!SCDPT1_28BEGIN_18</vt:lpstr>
      <vt:lpstr>'GMIC_2020-Annu_SCDPT1'!SCDPT1_28BEGIN_19</vt:lpstr>
      <vt:lpstr>'GMIC_2020-Annu_SCDPT1'!SCDPT1_28BEGIN_2</vt:lpstr>
      <vt:lpstr>'GMIC_2020-Annu_SCDPT1'!SCDPT1_28BEGIN_20</vt:lpstr>
      <vt:lpstr>'GMIC_2020-Annu_SCDPT1'!SCDPT1_28BEGIN_21</vt:lpstr>
      <vt:lpstr>'GMIC_2020-Annu_SCDPT1'!SCDPT1_28BEGIN_22</vt:lpstr>
      <vt:lpstr>'GMIC_2020-Annu_SCDPT1'!SCDPT1_28BEGIN_23</vt:lpstr>
      <vt:lpstr>'GMIC_2020-Annu_SCDPT1'!SCDPT1_28BEGIN_24</vt:lpstr>
      <vt:lpstr>'GMIC_2020-Annu_SCDPT1'!SCDPT1_28BEGIN_25</vt:lpstr>
      <vt:lpstr>'GMIC_2020-Annu_SCDPT1'!SCDPT1_28BEGIN_26</vt:lpstr>
      <vt:lpstr>'GMIC_2020-Annu_SCDPT1'!SCDPT1_28BEGIN_27</vt:lpstr>
      <vt:lpstr>'GMIC_2020-Annu_SCDPT1'!SCDPT1_28BEGIN_28</vt:lpstr>
      <vt:lpstr>'GMIC_2020-Annu_SCDPT1'!SCDPT1_28BEGIN_29</vt:lpstr>
      <vt:lpstr>'GMIC_2020-Annu_SCDPT1'!SCDPT1_28BEGIN_3</vt:lpstr>
      <vt:lpstr>'GMIC_2020-Annu_SCDPT1'!SCDPT1_28BEGIN_30</vt:lpstr>
      <vt:lpstr>'GMIC_2020-Annu_SCDPT1'!SCDPT1_28BEGIN_31</vt:lpstr>
      <vt:lpstr>'GMIC_2020-Annu_SCDPT1'!SCDPT1_28BEGIN_32</vt:lpstr>
      <vt:lpstr>'GMIC_2020-Annu_SCDPT1'!SCDPT1_28BEGIN_33</vt:lpstr>
      <vt:lpstr>'GMIC_2020-Annu_SCDPT1'!SCDPT1_28BEGIN_34</vt:lpstr>
      <vt:lpstr>'GMIC_2020-Annu_SCDPT1'!SCDPT1_28BEGIN_35</vt:lpstr>
      <vt:lpstr>'GMIC_2020-Annu_SCDPT1'!SCDPT1_28BEGIN_4</vt:lpstr>
      <vt:lpstr>'GMIC_2020-Annu_SCDPT1'!SCDPT1_28BEGIN_5</vt:lpstr>
      <vt:lpstr>'GMIC_2020-Annu_SCDPT1'!SCDPT1_28BEGIN_6.01</vt:lpstr>
      <vt:lpstr>'GMIC_2020-Annu_SCDPT1'!SCDPT1_28BEGIN_6.02</vt:lpstr>
      <vt:lpstr>'GMIC_2020-Annu_SCDPT1'!SCDPT1_28BEGIN_6.03</vt:lpstr>
      <vt:lpstr>'GMIC_2020-Annu_SCDPT1'!SCDPT1_28BEGIN_7</vt:lpstr>
      <vt:lpstr>'GMIC_2020-Annu_SCDPT1'!SCDPT1_28BEGIN_8</vt:lpstr>
      <vt:lpstr>'GMIC_2020-Annu_SCDPT1'!SCDPT1_28BEGIN_9</vt:lpstr>
      <vt:lpstr>'GMIC_2020-Annu_SCDPT1'!SCDPT1_28ENDIN_10</vt:lpstr>
      <vt:lpstr>'GMIC_2020-Annu_SCDPT1'!SCDPT1_28ENDIN_11</vt:lpstr>
      <vt:lpstr>'GMIC_2020-Annu_SCDPT1'!SCDPT1_28ENDIN_12</vt:lpstr>
      <vt:lpstr>'GMIC_2020-Annu_SCDPT1'!SCDPT1_28ENDIN_13</vt:lpstr>
      <vt:lpstr>'GMIC_2020-Annu_SCDPT1'!SCDPT1_28ENDIN_14</vt:lpstr>
      <vt:lpstr>'GMIC_2020-Annu_SCDPT1'!SCDPT1_28ENDIN_15</vt:lpstr>
      <vt:lpstr>'GMIC_2020-Annu_SCDPT1'!SCDPT1_28ENDIN_16</vt:lpstr>
      <vt:lpstr>'GMIC_2020-Annu_SCDPT1'!SCDPT1_28ENDIN_17</vt:lpstr>
      <vt:lpstr>'GMIC_2020-Annu_SCDPT1'!SCDPT1_28ENDIN_18</vt:lpstr>
      <vt:lpstr>'GMIC_2020-Annu_SCDPT1'!SCDPT1_28ENDIN_19</vt:lpstr>
      <vt:lpstr>'GMIC_2020-Annu_SCDPT1'!SCDPT1_28ENDIN_2</vt:lpstr>
      <vt:lpstr>'GMIC_2020-Annu_SCDPT1'!SCDPT1_28ENDIN_20</vt:lpstr>
      <vt:lpstr>'GMIC_2020-Annu_SCDPT1'!SCDPT1_28ENDIN_21</vt:lpstr>
      <vt:lpstr>'GMIC_2020-Annu_SCDPT1'!SCDPT1_28ENDIN_22</vt:lpstr>
      <vt:lpstr>'GMIC_2020-Annu_SCDPT1'!SCDPT1_28ENDIN_23</vt:lpstr>
      <vt:lpstr>'GMIC_2020-Annu_SCDPT1'!SCDPT1_28ENDIN_24</vt:lpstr>
      <vt:lpstr>'GMIC_2020-Annu_SCDPT1'!SCDPT1_28ENDIN_25</vt:lpstr>
      <vt:lpstr>'GMIC_2020-Annu_SCDPT1'!SCDPT1_28ENDIN_26</vt:lpstr>
      <vt:lpstr>'GMIC_2020-Annu_SCDPT1'!SCDPT1_28ENDIN_27</vt:lpstr>
      <vt:lpstr>'GMIC_2020-Annu_SCDPT1'!SCDPT1_28ENDIN_28</vt:lpstr>
      <vt:lpstr>'GMIC_2020-Annu_SCDPT1'!SCDPT1_28ENDIN_29</vt:lpstr>
      <vt:lpstr>'GMIC_2020-Annu_SCDPT1'!SCDPT1_28ENDIN_3</vt:lpstr>
      <vt:lpstr>'GMIC_2020-Annu_SCDPT1'!SCDPT1_28ENDIN_30</vt:lpstr>
      <vt:lpstr>'GMIC_2020-Annu_SCDPT1'!SCDPT1_28ENDIN_31</vt:lpstr>
      <vt:lpstr>'GMIC_2020-Annu_SCDPT1'!SCDPT1_28ENDIN_32</vt:lpstr>
      <vt:lpstr>'GMIC_2020-Annu_SCDPT1'!SCDPT1_28ENDIN_33</vt:lpstr>
      <vt:lpstr>'GMIC_2020-Annu_SCDPT1'!SCDPT1_28ENDIN_34</vt:lpstr>
      <vt:lpstr>'GMIC_2020-Annu_SCDPT1'!SCDPT1_28ENDIN_35</vt:lpstr>
      <vt:lpstr>'GMIC_2020-Annu_SCDPT1'!SCDPT1_28ENDIN_4</vt:lpstr>
      <vt:lpstr>'GMIC_2020-Annu_SCDPT1'!SCDPT1_28ENDIN_5</vt:lpstr>
      <vt:lpstr>'GMIC_2020-Annu_SCDPT1'!SCDPT1_28ENDIN_6.01</vt:lpstr>
      <vt:lpstr>'GMIC_2020-Annu_SCDPT1'!SCDPT1_28ENDIN_6.02</vt:lpstr>
      <vt:lpstr>'GMIC_2020-Annu_SCDPT1'!SCDPT1_28ENDIN_6.03</vt:lpstr>
      <vt:lpstr>'GMIC_2020-Annu_SCDPT1'!SCDPT1_28ENDIN_7</vt:lpstr>
      <vt:lpstr>'GMIC_2020-Annu_SCDPT1'!SCDPT1_28ENDIN_8</vt:lpstr>
      <vt:lpstr>'GMIC_2020-Annu_SCDPT1'!SCDPT1_28ENDIN_9</vt:lpstr>
      <vt:lpstr>'GMIC_2020-Annu_SCDPT1'!SCDPT1_3199999_10</vt:lpstr>
      <vt:lpstr>'GMIC_2020-Annu_SCDPT1'!SCDPT1_3199999_11</vt:lpstr>
      <vt:lpstr>'GMIC_2020-Annu_SCDPT1'!SCDPT1_3199999_12</vt:lpstr>
      <vt:lpstr>'GMIC_2020-Annu_SCDPT1'!SCDPT1_3199999_13</vt:lpstr>
      <vt:lpstr>'GMIC_2020-Annu_SCDPT1'!SCDPT1_3199999_14</vt:lpstr>
      <vt:lpstr>'GMIC_2020-Annu_SCDPT1'!SCDPT1_3199999_15</vt:lpstr>
      <vt:lpstr>'GMIC_2020-Annu_SCDPT1'!SCDPT1_3199999_19</vt:lpstr>
      <vt:lpstr>'GMIC_2020-Annu_SCDPT1'!SCDPT1_3199999_20</vt:lpstr>
      <vt:lpstr>'GMIC_2020-Annu_SCDPT1'!SCDPT1_3199999_7</vt:lpstr>
      <vt:lpstr>'GMIC_2020-Annu_SCDPT1'!SCDPT1_3199999_9</vt:lpstr>
      <vt:lpstr>'GMIC_2020-Annu_SCDPT1'!SCDPT1_3200000_Range</vt:lpstr>
      <vt:lpstr>'GMIC_2020-Annu_SCDPT1'!SCDPT1_3200001_1</vt:lpstr>
      <vt:lpstr>'GMIC_2020-Annu_SCDPT1'!SCDPT1_3200001_10</vt:lpstr>
      <vt:lpstr>'GMIC_2020-Annu_SCDPT1'!SCDPT1_3200001_11</vt:lpstr>
      <vt:lpstr>'GMIC_2020-Annu_SCDPT1'!SCDPT1_3200001_12</vt:lpstr>
      <vt:lpstr>'GMIC_2020-Annu_SCDPT1'!SCDPT1_3200001_13</vt:lpstr>
      <vt:lpstr>'GMIC_2020-Annu_SCDPT1'!SCDPT1_3200001_14</vt:lpstr>
      <vt:lpstr>'GMIC_2020-Annu_SCDPT1'!SCDPT1_3200001_15</vt:lpstr>
      <vt:lpstr>'GMIC_2020-Annu_SCDPT1'!SCDPT1_3200001_16</vt:lpstr>
      <vt:lpstr>'GMIC_2020-Annu_SCDPT1'!SCDPT1_3200001_17</vt:lpstr>
      <vt:lpstr>'GMIC_2020-Annu_SCDPT1'!SCDPT1_3200001_18</vt:lpstr>
      <vt:lpstr>'GMIC_2020-Annu_SCDPT1'!SCDPT1_3200001_19</vt:lpstr>
      <vt:lpstr>'GMIC_2020-Annu_SCDPT1'!SCDPT1_3200001_2</vt:lpstr>
      <vt:lpstr>'GMIC_2020-Annu_SCDPT1'!SCDPT1_3200001_20</vt:lpstr>
      <vt:lpstr>'GMIC_2020-Annu_SCDPT1'!SCDPT1_3200001_21</vt:lpstr>
      <vt:lpstr>'GMIC_2020-Annu_SCDPT1'!SCDPT1_3200001_22</vt:lpstr>
      <vt:lpstr>'GMIC_2020-Annu_SCDPT1'!SCDPT1_3200001_24</vt:lpstr>
      <vt:lpstr>'GMIC_2020-Annu_SCDPT1'!SCDPT1_3200001_25</vt:lpstr>
      <vt:lpstr>'GMIC_2020-Annu_SCDPT1'!SCDPT1_3200001_27</vt:lpstr>
      <vt:lpstr>'GMIC_2020-Annu_SCDPT1'!SCDPT1_3200001_28</vt:lpstr>
      <vt:lpstr>'GMIC_2020-Annu_SCDPT1'!SCDPT1_3200001_29</vt:lpstr>
      <vt:lpstr>'GMIC_2020-Annu_SCDPT1'!SCDPT1_3200001_3</vt:lpstr>
      <vt:lpstr>'GMIC_2020-Annu_SCDPT1'!SCDPT1_3200001_30</vt:lpstr>
      <vt:lpstr>'GMIC_2020-Annu_SCDPT1'!SCDPT1_3200001_31</vt:lpstr>
      <vt:lpstr>'GMIC_2020-Annu_SCDPT1'!SCDPT1_3200001_32</vt:lpstr>
      <vt:lpstr>'GMIC_2020-Annu_SCDPT1'!SCDPT1_3200001_33</vt:lpstr>
      <vt:lpstr>'GMIC_2020-Annu_SCDPT1'!SCDPT1_3200001_34</vt:lpstr>
      <vt:lpstr>'GMIC_2020-Annu_SCDPT1'!SCDPT1_3200001_35</vt:lpstr>
      <vt:lpstr>'GMIC_2020-Annu_SCDPT1'!SCDPT1_3200001_4</vt:lpstr>
      <vt:lpstr>'GMIC_2020-Annu_SCDPT1'!SCDPT1_3200001_5</vt:lpstr>
      <vt:lpstr>'GMIC_2020-Annu_SCDPT1'!SCDPT1_3200001_6.01</vt:lpstr>
      <vt:lpstr>'GMIC_2020-Annu_SCDPT1'!SCDPT1_3200001_6.02</vt:lpstr>
      <vt:lpstr>'GMIC_2020-Annu_SCDPT1'!SCDPT1_3200001_6.03</vt:lpstr>
      <vt:lpstr>'GMIC_2020-Annu_SCDPT1'!SCDPT1_3200001_7</vt:lpstr>
      <vt:lpstr>'GMIC_2020-Annu_SCDPT1'!SCDPT1_3200001_8</vt:lpstr>
      <vt:lpstr>'GMIC_2020-Annu_SCDPT1'!SCDPT1_3200001_9</vt:lpstr>
      <vt:lpstr>'GMIC_2020-Annu_SCDPT1'!SCDPT1_3299999_10</vt:lpstr>
      <vt:lpstr>'GMIC_2020-Annu_SCDPT1'!SCDPT1_3299999_11</vt:lpstr>
      <vt:lpstr>'GMIC_2020-Annu_SCDPT1'!SCDPT1_3299999_12</vt:lpstr>
      <vt:lpstr>'GMIC_2020-Annu_SCDPT1'!SCDPT1_3299999_13</vt:lpstr>
      <vt:lpstr>'GMIC_2020-Annu_SCDPT1'!SCDPT1_3299999_14</vt:lpstr>
      <vt:lpstr>'GMIC_2020-Annu_SCDPT1'!SCDPT1_3299999_15</vt:lpstr>
      <vt:lpstr>'GMIC_2020-Annu_SCDPT1'!SCDPT1_3299999_19</vt:lpstr>
      <vt:lpstr>'GMIC_2020-Annu_SCDPT1'!SCDPT1_3299999_20</vt:lpstr>
      <vt:lpstr>'GMIC_2020-Annu_SCDPT1'!SCDPT1_3299999_7</vt:lpstr>
      <vt:lpstr>'GMIC_2020-Annu_SCDPT1'!SCDPT1_3299999_9</vt:lpstr>
      <vt:lpstr>'GMIC_2020-Annu_SCDPT1'!SCDPT1_32BEGIN_1</vt:lpstr>
      <vt:lpstr>'GMIC_2020-Annu_SCDPT1'!SCDPT1_32BEGIN_10</vt:lpstr>
      <vt:lpstr>'GMIC_2020-Annu_SCDPT1'!SCDPT1_32BEGIN_11</vt:lpstr>
      <vt:lpstr>'GMIC_2020-Annu_SCDPT1'!SCDPT1_32BEGIN_12</vt:lpstr>
      <vt:lpstr>'GMIC_2020-Annu_SCDPT1'!SCDPT1_32BEGIN_13</vt:lpstr>
      <vt:lpstr>'GMIC_2020-Annu_SCDPT1'!SCDPT1_32BEGIN_14</vt:lpstr>
      <vt:lpstr>'GMIC_2020-Annu_SCDPT1'!SCDPT1_32BEGIN_15</vt:lpstr>
      <vt:lpstr>'GMIC_2020-Annu_SCDPT1'!SCDPT1_32BEGIN_16</vt:lpstr>
      <vt:lpstr>'GMIC_2020-Annu_SCDPT1'!SCDPT1_32BEGIN_17</vt:lpstr>
      <vt:lpstr>'GMIC_2020-Annu_SCDPT1'!SCDPT1_32BEGIN_18</vt:lpstr>
      <vt:lpstr>'GMIC_2020-Annu_SCDPT1'!SCDPT1_32BEGIN_19</vt:lpstr>
      <vt:lpstr>'GMIC_2020-Annu_SCDPT1'!SCDPT1_32BEGIN_2</vt:lpstr>
      <vt:lpstr>'GMIC_2020-Annu_SCDPT1'!SCDPT1_32BEGIN_20</vt:lpstr>
      <vt:lpstr>'GMIC_2020-Annu_SCDPT1'!SCDPT1_32BEGIN_21</vt:lpstr>
      <vt:lpstr>'GMIC_2020-Annu_SCDPT1'!SCDPT1_32BEGIN_22</vt:lpstr>
      <vt:lpstr>'GMIC_2020-Annu_SCDPT1'!SCDPT1_32BEGIN_23</vt:lpstr>
      <vt:lpstr>'GMIC_2020-Annu_SCDPT1'!SCDPT1_32BEGIN_24</vt:lpstr>
      <vt:lpstr>'GMIC_2020-Annu_SCDPT1'!SCDPT1_32BEGIN_25</vt:lpstr>
      <vt:lpstr>'GMIC_2020-Annu_SCDPT1'!SCDPT1_32BEGIN_26</vt:lpstr>
      <vt:lpstr>'GMIC_2020-Annu_SCDPT1'!SCDPT1_32BEGIN_27</vt:lpstr>
      <vt:lpstr>'GMIC_2020-Annu_SCDPT1'!SCDPT1_32BEGIN_28</vt:lpstr>
      <vt:lpstr>'GMIC_2020-Annu_SCDPT1'!SCDPT1_32BEGIN_29</vt:lpstr>
      <vt:lpstr>'GMIC_2020-Annu_SCDPT1'!SCDPT1_32BEGIN_3</vt:lpstr>
      <vt:lpstr>'GMIC_2020-Annu_SCDPT1'!SCDPT1_32BEGIN_30</vt:lpstr>
      <vt:lpstr>'GMIC_2020-Annu_SCDPT1'!SCDPT1_32BEGIN_31</vt:lpstr>
      <vt:lpstr>'GMIC_2020-Annu_SCDPT1'!SCDPT1_32BEGIN_32</vt:lpstr>
      <vt:lpstr>'GMIC_2020-Annu_SCDPT1'!SCDPT1_32BEGIN_33</vt:lpstr>
      <vt:lpstr>'GMIC_2020-Annu_SCDPT1'!SCDPT1_32BEGIN_34</vt:lpstr>
      <vt:lpstr>'GMIC_2020-Annu_SCDPT1'!SCDPT1_32BEGIN_35</vt:lpstr>
      <vt:lpstr>'GMIC_2020-Annu_SCDPT1'!SCDPT1_32BEGIN_4</vt:lpstr>
      <vt:lpstr>'GMIC_2020-Annu_SCDPT1'!SCDPT1_32BEGIN_5</vt:lpstr>
      <vt:lpstr>'GMIC_2020-Annu_SCDPT1'!SCDPT1_32BEGIN_6.01</vt:lpstr>
      <vt:lpstr>'GMIC_2020-Annu_SCDPT1'!SCDPT1_32BEGIN_6.02</vt:lpstr>
      <vt:lpstr>'GMIC_2020-Annu_SCDPT1'!SCDPT1_32BEGIN_6.03</vt:lpstr>
      <vt:lpstr>'GMIC_2020-Annu_SCDPT1'!SCDPT1_32BEGIN_7</vt:lpstr>
      <vt:lpstr>'GMIC_2020-Annu_SCDPT1'!SCDPT1_32BEGIN_8</vt:lpstr>
      <vt:lpstr>'GMIC_2020-Annu_SCDPT1'!SCDPT1_32BEGIN_9</vt:lpstr>
      <vt:lpstr>'GMIC_2020-Annu_SCDPT1'!SCDPT1_32ENDIN_10</vt:lpstr>
      <vt:lpstr>'GMIC_2020-Annu_SCDPT1'!SCDPT1_32ENDIN_11</vt:lpstr>
      <vt:lpstr>'GMIC_2020-Annu_SCDPT1'!SCDPT1_32ENDIN_12</vt:lpstr>
      <vt:lpstr>'GMIC_2020-Annu_SCDPT1'!SCDPT1_32ENDIN_13</vt:lpstr>
      <vt:lpstr>'GMIC_2020-Annu_SCDPT1'!SCDPT1_32ENDIN_14</vt:lpstr>
      <vt:lpstr>'GMIC_2020-Annu_SCDPT1'!SCDPT1_32ENDIN_15</vt:lpstr>
      <vt:lpstr>'GMIC_2020-Annu_SCDPT1'!SCDPT1_32ENDIN_16</vt:lpstr>
      <vt:lpstr>'GMIC_2020-Annu_SCDPT1'!SCDPT1_32ENDIN_17</vt:lpstr>
      <vt:lpstr>'GMIC_2020-Annu_SCDPT1'!SCDPT1_32ENDIN_18</vt:lpstr>
      <vt:lpstr>'GMIC_2020-Annu_SCDPT1'!SCDPT1_32ENDIN_19</vt:lpstr>
      <vt:lpstr>'GMIC_2020-Annu_SCDPT1'!SCDPT1_32ENDIN_2</vt:lpstr>
      <vt:lpstr>'GMIC_2020-Annu_SCDPT1'!SCDPT1_32ENDIN_20</vt:lpstr>
      <vt:lpstr>'GMIC_2020-Annu_SCDPT1'!SCDPT1_32ENDIN_21</vt:lpstr>
      <vt:lpstr>'GMIC_2020-Annu_SCDPT1'!SCDPT1_32ENDIN_22</vt:lpstr>
      <vt:lpstr>'GMIC_2020-Annu_SCDPT1'!SCDPT1_32ENDIN_23</vt:lpstr>
      <vt:lpstr>'GMIC_2020-Annu_SCDPT1'!SCDPT1_32ENDIN_24</vt:lpstr>
      <vt:lpstr>'GMIC_2020-Annu_SCDPT1'!SCDPT1_32ENDIN_25</vt:lpstr>
      <vt:lpstr>'GMIC_2020-Annu_SCDPT1'!SCDPT1_32ENDIN_26</vt:lpstr>
      <vt:lpstr>'GMIC_2020-Annu_SCDPT1'!SCDPT1_32ENDIN_27</vt:lpstr>
      <vt:lpstr>'GMIC_2020-Annu_SCDPT1'!SCDPT1_32ENDIN_28</vt:lpstr>
      <vt:lpstr>'GMIC_2020-Annu_SCDPT1'!SCDPT1_32ENDIN_29</vt:lpstr>
      <vt:lpstr>'GMIC_2020-Annu_SCDPT1'!SCDPT1_32ENDIN_3</vt:lpstr>
      <vt:lpstr>'GMIC_2020-Annu_SCDPT1'!SCDPT1_32ENDIN_30</vt:lpstr>
      <vt:lpstr>'GMIC_2020-Annu_SCDPT1'!SCDPT1_32ENDIN_31</vt:lpstr>
      <vt:lpstr>'GMIC_2020-Annu_SCDPT1'!SCDPT1_32ENDIN_32</vt:lpstr>
      <vt:lpstr>'GMIC_2020-Annu_SCDPT1'!SCDPT1_32ENDIN_33</vt:lpstr>
      <vt:lpstr>'GMIC_2020-Annu_SCDPT1'!SCDPT1_32ENDIN_34</vt:lpstr>
      <vt:lpstr>'GMIC_2020-Annu_SCDPT1'!SCDPT1_32ENDIN_35</vt:lpstr>
      <vt:lpstr>'GMIC_2020-Annu_SCDPT1'!SCDPT1_32ENDIN_4</vt:lpstr>
      <vt:lpstr>'GMIC_2020-Annu_SCDPT1'!SCDPT1_32ENDIN_5</vt:lpstr>
      <vt:lpstr>'GMIC_2020-Annu_SCDPT1'!SCDPT1_32ENDIN_6.01</vt:lpstr>
      <vt:lpstr>'GMIC_2020-Annu_SCDPT1'!SCDPT1_32ENDIN_6.02</vt:lpstr>
      <vt:lpstr>'GMIC_2020-Annu_SCDPT1'!SCDPT1_32ENDIN_6.03</vt:lpstr>
      <vt:lpstr>'GMIC_2020-Annu_SCDPT1'!SCDPT1_32ENDIN_7</vt:lpstr>
      <vt:lpstr>'GMIC_2020-Annu_SCDPT1'!SCDPT1_32ENDIN_8</vt:lpstr>
      <vt:lpstr>'GMIC_2020-Annu_SCDPT1'!SCDPT1_32ENDIN_9</vt:lpstr>
      <vt:lpstr>'GMIC_2020-Annu_SCDPT1'!SCDPT1_3300000_Range</vt:lpstr>
      <vt:lpstr>'GMIC_2020-Annu_SCDPT1'!SCDPT1_3399999_10</vt:lpstr>
      <vt:lpstr>'GMIC_2020-Annu_SCDPT1'!SCDPT1_3399999_11</vt:lpstr>
      <vt:lpstr>'GMIC_2020-Annu_SCDPT1'!SCDPT1_3399999_12</vt:lpstr>
      <vt:lpstr>'GMIC_2020-Annu_SCDPT1'!SCDPT1_3399999_13</vt:lpstr>
      <vt:lpstr>'GMIC_2020-Annu_SCDPT1'!SCDPT1_3399999_14</vt:lpstr>
      <vt:lpstr>'GMIC_2020-Annu_SCDPT1'!SCDPT1_3399999_15</vt:lpstr>
      <vt:lpstr>'GMIC_2020-Annu_SCDPT1'!SCDPT1_3399999_19</vt:lpstr>
      <vt:lpstr>'GMIC_2020-Annu_SCDPT1'!SCDPT1_3399999_20</vt:lpstr>
      <vt:lpstr>'GMIC_2020-Annu_SCDPT1'!SCDPT1_3399999_7</vt:lpstr>
      <vt:lpstr>'GMIC_2020-Annu_SCDPT1'!SCDPT1_3399999_9</vt:lpstr>
      <vt:lpstr>'GMIC_2020-Annu_SCDPT1'!SCDPT1_33BEGIN_1</vt:lpstr>
      <vt:lpstr>'GMIC_2020-Annu_SCDPT1'!SCDPT1_33BEGIN_10</vt:lpstr>
      <vt:lpstr>'GMIC_2020-Annu_SCDPT1'!SCDPT1_33BEGIN_11</vt:lpstr>
      <vt:lpstr>'GMIC_2020-Annu_SCDPT1'!SCDPT1_33BEGIN_12</vt:lpstr>
      <vt:lpstr>'GMIC_2020-Annu_SCDPT1'!SCDPT1_33BEGIN_13</vt:lpstr>
      <vt:lpstr>'GMIC_2020-Annu_SCDPT1'!SCDPT1_33BEGIN_14</vt:lpstr>
      <vt:lpstr>'GMIC_2020-Annu_SCDPT1'!SCDPT1_33BEGIN_15</vt:lpstr>
      <vt:lpstr>'GMIC_2020-Annu_SCDPT1'!SCDPT1_33BEGIN_16</vt:lpstr>
      <vt:lpstr>'GMIC_2020-Annu_SCDPT1'!SCDPT1_33BEGIN_17</vt:lpstr>
      <vt:lpstr>'GMIC_2020-Annu_SCDPT1'!SCDPT1_33BEGIN_18</vt:lpstr>
      <vt:lpstr>'GMIC_2020-Annu_SCDPT1'!SCDPT1_33BEGIN_19</vt:lpstr>
      <vt:lpstr>'GMIC_2020-Annu_SCDPT1'!SCDPT1_33BEGIN_2</vt:lpstr>
      <vt:lpstr>'GMIC_2020-Annu_SCDPT1'!SCDPT1_33BEGIN_20</vt:lpstr>
      <vt:lpstr>'GMIC_2020-Annu_SCDPT1'!SCDPT1_33BEGIN_21</vt:lpstr>
      <vt:lpstr>'GMIC_2020-Annu_SCDPT1'!SCDPT1_33BEGIN_22</vt:lpstr>
      <vt:lpstr>'GMIC_2020-Annu_SCDPT1'!SCDPT1_33BEGIN_23</vt:lpstr>
      <vt:lpstr>'GMIC_2020-Annu_SCDPT1'!SCDPT1_33BEGIN_24</vt:lpstr>
      <vt:lpstr>'GMIC_2020-Annu_SCDPT1'!SCDPT1_33BEGIN_25</vt:lpstr>
      <vt:lpstr>'GMIC_2020-Annu_SCDPT1'!SCDPT1_33BEGIN_26</vt:lpstr>
      <vt:lpstr>'GMIC_2020-Annu_SCDPT1'!SCDPT1_33BEGIN_27</vt:lpstr>
      <vt:lpstr>'GMIC_2020-Annu_SCDPT1'!SCDPT1_33BEGIN_28</vt:lpstr>
      <vt:lpstr>'GMIC_2020-Annu_SCDPT1'!SCDPT1_33BEGIN_29</vt:lpstr>
      <vt:lpstr>'GMIC_2020-Annu_SCDPT1'!SCDPT1_33BEGIN_3</vt:lpstr>
      <vt:lpstr>'GMIC_2020-Annu_SCDPT1'!SCDPT1_33BEGIN_30</vt:lpstr>
      <vt:lpstr>'GMIC_2020-Annu_SCDPT1'!SCDPT1_33BEGIN_31</vt:lpstr>
      <vt:lpstr>'GMIC_2020-Annu_SCDPT1'!SCDPT1_33BEGIN_32</vt:lpstr>
      <vt:lpstr>'GMIC_2020-Annu_SCDPT1'!SCDPT1_33BEGIN_33</vt:lpstr>
      <vt:lpstr>'GMIC_2020-Annu_SCDPT1'!SCDPT1_33BEGIN_34</vt:lpstr>
      <vt:lpstr>'GMIC_2020-Annu_SCDPT1'!SCDPT1_33BEGIN_35</vt:lpstr>
      <vt:lpstr>'GMIC_2020-Annu_SCDPT1'!SCDPT1_33BEGIN_4</vt:lpstr>
      <vt:lpstr>'GMIC_2020-Annu_SCDPT1'!SCDPT1_33BEGIN_5</vt:lpstr>
      <vt:lpstr>'GMIC_2020-Annu_SCDPT1'!SCDPT1_33BEGIN_6.01</vt:lpstr>
      <vt:lpstr>'GMIC_2020-Annu_SCDPT1'!SCDPT1_33BEGIN_6.02</vt:lpstr>
      <vt:lpstr>'GMIC_2020-Annu_SCDPT1'!SCDPT1_33BEGIN_6.03</vt:lpstr>
      <vt:lpstr>'GMIC_2020-Annu_SCDPT1'!SCDPT1_33BEGIN_7</vt:lpstr>
      <vt:lpstr>'GMIC_2020-Annu_SCDPT1'!SCDPT1_33BEGIN_8</vt:lpstr>
      <vt:lpstr>'GMIC_2020-Annu_SCDPT1'!SCDPT1_33BEGIN_9</vt:lpstr>
      <vt:lpstr>'GMIC_2020-Annu_SCDPT1'!SCDPT1_33ENDIN_10</vt:lpstr>
      <vt:lpstr>'GMIC_2020-Annu_SCDPT1'!SCDPT1_33ENDIN_11</vt:lpstr>
      <vt:lpstr>'GMIC_2020-Annu_SCDPT1'!SCDPT1_33ENDIN_12</vt:lpstr>
      <vt:lpstr>'GMIC_2020-Annu_SCDPT1'!SCDPT1_33ENDIN_13</vt:lpstr>
      <vt:lpstr>'GMIC_2020-Annu_SCDPT1'!SCDPT1_33ENDIN_14</vt:lpstr>
      <vt:lpstr>'GMIC_2020-Annu_SCDPT1'!SCDPT1_33ENDIN_15</vt:lpstr>
      <vt:lpstr>'GMIC_2020-Annu_SCDPT1'!SCDPT1_33ENDIN_16</vt:lpstr>
      <vt:lpstr>'GMIC_2020-Annu_SCDPT1'!SCDPT1_33ENDIN_17</vt:lpstr>
      <vt:lpstr>'GMIC_2020-Annu_SCDPT1'!SCDPT1_33ENDIN_18</vt:lpstr>
      <vt:lpstr>'GMIC_2020-Annu_SCDPT1'!SCDPT1_33ENDIN_19</vt:lpstr>
      <vt:lpstr>'GMIC_2020-Annu_SCDPT1'!SCDPT1_33ENDIN_2</vt:lpstr>
      <vt:lpstr>'GMIC_2020-Annu_SCDPT1'!SCDPT1_33ENDIN_20</vt:lpstr>
      <vt:lpstr>'GMIC_2020-Annu_SCDPT1'!SCDPT1_33ENDIN_21</vt:lpstr>
      <vt:lpstr>'GMIC_2020-Annu_SCDPT1'!SCDPT1_33ENDIN_22</vt:lpstr>
      <vt:lpstr>'GMIC_2020-Annu_SCDPT1'!SCDPT1_33ENDIN_23</vt:lpstr>
      <vt:lpstr>'GMIC_2020-Annu_SCDPT1'!SCDPT1_33ENDIN_24</vt:lpstr>
      <vt:lpstr>'GMIC_2020-Annu_SCDPT1'!SCDPT1_33ENDIN_25</vt:lpstr>
      <vt:lpstr>'GMIC_2020-Annu_SCDPT1'!SCDPT1_33ENDIN_26</vt:lpstr>
      <vt:lpstr>'GMIC_2020-Annu_SCDPT1'!SCDPT1_33ENDIN_27</vt:lpstr>
      <vt:lpstr>'GMIC_2020-Annu_SCDPT1'!SCDPT1_33ENDIN_28</vt:lpstr>
      <vt:lpstr>'GMIC_2020-Annu_SCDPT1'!SCDPT1_33ENDIN_29</vt:lpstr>
      <vt:lpstr>'GMIC_2020-Annu_SCDPT1'!SCDPT1_33ENDIN_3</vt:lpstr>
      <vt:lpstr>'GMIC_2020-Annu_SCDPT1'!SCDPT1_33ENDIN_30</vt:lpstr>
      <vt:lpstr>'GMIC_2020-Annu_SCDPT1'!SCDPT1_33ENDIN_31</vt:lpstr>
      <vt:lpstr>'GMIC_2020-Annu_SCDPT1'!SCDPT1_33ENDIN_32</vt:lpstr>
      <vt:lpstr>'GMIC_2020-Annu_SCDPT1'!SCDPT1_33ENDIN_33</vt:lpstr>
      <vt:lpstr>'GMIC_2020-Annu_SCDPT1'!SCDPT1_33ENDIN_34</vt:lpstr>
      <vt:lpstr>'GMIC_2020-Annu_SCDPT1'!SCDPT1_33ENDIN_35</vt:lpstr>
      <vt:lpstr>'GMIC_2020-Annu_SCDPT1'!SCDPT1_33ENDIN_4</vt:lpstr>
      <vt:lpstr>'GMIC_2020-Annu_SCDPT1'!SCDPT1_33ENDIN_5</vt:lpstr>
      <vt:lpstr>'GMIC_2020-Annu_SCDPT1'!SCDPT1_33ENDIN_6.01</vt:lpstr>
      <vt:lpstr>'GMIC_2020-Annu_SCDPT1'!SCDPT1_33ENDIN_6.02</vt:lpstr>
      <vt:lpstr>'GMIC_2020-Annu_SCDPT1'!SCDPT1_33ENDIN_6.03</vt:lpstr>
      <vt:lpstr>'GMIC_2020-Annu_SCDPT1'!SCDPT1_33ENDIN_7</vt:lpstr>
      <vt:lpstr>'GMIC_2020-Annu_SCDPT1'!SCDPT1_33ENDIN_8</vt:lpstr>
      <vt:lpstr>'GMIC_2020-Annu_SCDPT1'!SCDPT1_33ENDIN_9</vt:lpstr>
      <vt:lpstr>'GMIC_2020-Annu_SCDPT1'!SCDPT1_3400000_Range</vt:lpstr>
      <vt:lpstr>'GMIC_2020-Annu_SCDPT1'!SCDPT1_3499999_10</vt:lpstr>
      <vt:lpstr>'GMIC_2020-Annu_SCDPT1'!SCDPT1_3499999_11</vt:lpstr>
      <vt:lpstr>'GMIC_2020-Annu_SCDPT1'!SCDPT1_3499999_12</vt:lpstr>
      <vt:lpstr>'GMIC_2020-Annu_SCDPT1'!SCDPT1_3499999_13</vt:lpstr>
      <vt:lpstr>'GMIC_2020-Annu_SCDPT1'!SCDPT1_3499999_14</vt:lpstr>
      <vt:lpstr>'GMIC_2020-Annu_SCDPT1'!SCDPT1_3499999_15</vt:lpstr>
      <vt:lpstr>'GMIC_2020-Annu_SCDPT1'!SCDPT1_3499999_19</vt:lpstr>
      <vt:lpstr>'GMIC_2020-Annu_SCDPT1'!SCDPT1_3499999_20</vt:lpstr>
      <vt:lpstr>'GMIC_2020-Annu_SCDPT1'!SCDPT1_3499999_7</vt:lpstr>
      <vt:lpstr>'GMIC_2020-Annu_SCDPT1'!SCDPT1_3499999_9</vt:lpstr>
      <vt:lpstr>'GMIC_2020-Annu_SCDPT1'!SCDPT1_34BEGIN_1</vt:lpstr>
      <vt:lpstr>'GMIC_2020-Annu_SCDPT1'!SCDPT1_34BEGIN_10</vt:lpstr>
      <vt:lpstr>'GMIC_2020-Annu_SCDPT1'!SCDPT1_34BEGIN_11</vt:lpstr>
      <vt:lpstr>'GMIC_2020-Annu_SCDPT1'!SCDPT1_34BEGIN_12</vt:lpstr>
      <vt:lpstr>'GMIC_2020-Annu_SCDPT1'!SCDPT1_34BEGIN_13</vt:lpstr>
      <vt:lpstr>'GMIC_2020-Annu_SCDPT1'!SCDPT1_34BEGIN_14</vt:lpstr>
      <vt:lpstr>'GMIC_2020-Annu_SCDPT1'!SCDPT1_34BEGIN_15</vt:lpstr>
      <vt:lpstr>'GMIC_2020-Annu_SCDPT1'!SCDPT1_34BEGIN_16</vt:lpstr>
      <vt:lpstr>'GMIC_2020-Annu_SCDPT1'!SCDPT1_34BEGIN_17</vt:lpstr>
      <vt:lpstr>'GMIC_2020-Annu_SCDPT1'!SCDPT1_34BEGIN_18</vt:lpstr>
      <vt:lpstr>'GMIC_2020-Annu_SCDPT1'!SCDPT1_34BEGIN_19</vt:lpstr>
      <vt:lpstr>'GMIC_2020-Annu_SCDPT1'!SCDPT1_34BEGIN_2</vt:lpstr>
      <vt:lpstr>'GMIC_2020-Annu_SCDPT1'!SCDPT1_34BEGIN_20</vt:lpstr>
      <vt:lpstr>'GMIC_2020-Annu_SCDPT1'!SCDPT1_34BEGIN_21</vt:lpstr>
      <vt:lpstr>'GMIC_2020-Annu_SCDPT1'!SCDPT1_34BEGIN_22</vt:lpstr>
      <vt:lpstr>'GMIC_2020-Annu_SCDPT1'!SCDPT1_34BEGIN_23</vt:lpstr>
      <vt:lpstr>'GMIC_2020-Annu_SCDPT1'!SCDPT1_34BEGIN_24</vt:lpstr>
      <vt:lpstr>'GMIC_2020-Annu_SCDPT1'!SCDPT1_34BEGIN_25</vt:lpstr>
      <vt:lpstr>'GMIC_2020-Annu_SCDPT1'!SCDPT1_34BEGIN_26</vt:lpstr>
      <vt:lpstr>'GMIC_2020-Annu_SCDPT1'!SCDPT1_34BEGIN_27</vt:lpstr>
      <vt:lpstr>'GMIC_2020-Annu_SCDPT1'!SCDPT1_34BEGIN_28</vt:lpstr>
      <vt:lpstr>'GMIC_2020-Annu_SCDPT1'!SCDPT1_34BEGIN_29</vt:lpstr>
      <vt:lpstr>'GMIC_2020-Annu_SCDPT1'!SCDPT1_34BEGIN_3</vt:lpstr>
      <vt:lpstr>'GMIC_2020-Annu_SCDPT1'!SCDPT1_34BEGIN_30</vt:lpstr>
      <vt:lpstr>'GMIC_2020-Annu_SCDPT1'!SCDPT1_34BEGIN_31</vt:lpstr>
      <vt:lpstr>'GMIC_2020-Annu_SCDPT1'!SCDPT1_34BEGIN_32</vt:lpstr>
      <vt:lpstr>'GMIC_2020-Annu_SCDPT1'!SCDPT1_34BEGIN_33</vt:lpstr>
      <vt:lpstr>'GMIC_2020-Annu_SCDPT1'!SCDPT1_34BEGIN_34</vt:lpstr>
      <vt:lpstr>'GMIC_2020-Annu_SCDPT1'!SCDPT1_34BEGIN_35</vt:lpstr>
      <vt:lpstr>'GMIC_2020-Annu_SCDPT1'!SCDPT1_34BEGIN_4</vt:lpstr>
      <vt:lpstr>'GMIC_2020-Annu_SCDPT1'!SCDPT1_34BEGIN_5</vt:lpstr>
      <vt:lpstr>'GMIC_2020-Annu_SCDPT1'!SCDPT1_34BEGIN_6.01</vt:lpstr>
      <vt:lpstr>'GMIC_2020-Annu_SCDPT1'!SCDPT1_34BEGIN_6.02</vt:lpstr>
      <vt:lpstr>'GMIC_2020-Annu_SCDPT1'!SCDPT1_34BEGIN_6.03</vt:lpstr>
      <vt:lpstr>'GMIC_2020-Annu_SCDPT1'!SCDPT1_34BEGIN_7</vt:lpstr>
      <vt:lpstr>'GMIC_2020-Annu_SCDPT1'!SCDPT1_34BEGIN_8</vt:lpstr>
      <vt:lpstr>'GMIC_2020-Annu_SCDPT1'!SCDPT1_34BEGIN_9</vt:lpstr>
      <vt:lpstr>'GMIC_2020-Annu_SCDPT1'!SCDPT1_34ENDIN_10</vt:lpstr>
      <vt:lpstr>'GMIC_2020-Annu_SCDPT1'!SCDPT1_34ENDIN_11</vt:lpstr>
      <vt:lpstr>'GMIC_2020-Annu_SCDPT1'!SCDPT1_34ENDIN_12</vt:lpstr>
      <vt:lpstr>'GMIC_2020-Annu_SCDPT1'!SCDPT1_34ENDIN_13</vt:lpstr>
      <vt:lpstr>'GMIC_2020-Annu_SCDPT1'!SCDPT1_34ENDIN_14</vt:lpstr>
      <vt:lpstr>'GMIC_2020-Annu_SCDPT1'!SCDPT1_34ENDIN_15</vt:lpstr>
      <vt:lpstr>'GMIC_2020-Annu_SCDPT1'!SCDPT1_34ENDIN_16</vt:lpstr>
      <vt:lpstr>'GMIC_2020-Annu_SCDPT1'!SCDPT1_34ENDIN_17</vt:lpstr>
      <vt:lpstr>'GMIC_2020-Annu_SCDPT1'!SCDPT1_34ENDIN_18</vt:lpstr>
      <vt:lpstr>'GMIC_2020-Annu_SCDPT1'!SCDPT1_34ENDIN_19</vt:lpstr>
      <vt:lpstr>'GMIC_2020-Annu_SCDPT1'!SCDPT1_34ENDIN_2</vt:lpstr>
      <vt:lpstr>'GMIC_2020-Annu_SCDPT1'!SCDPT1_34ENDIN_20</vt:lpstr>
      <vt:lpstr>'GMIC_2020-Annu_SCDPT1'!SCDPT1_34ENDIN_21</vt:lpstr>
      <vt:lpstr>'GMIC_2020-Annu_SCDPT1'!SCDPT1_34ENDIN_22</vt:lpstr>
      <vt:lpstr>'GMIC_2020-Annu_SCDPT1'!SCDPT1_34ENDIN_23</vt:lpstr>
      <vt:lpstr>'GMIC_2020-Annu_SCDPT1'!SCDPT1_34ENDIN_24</vt:lpstr>
      <vt:lpstr>'GMIC_2020-Annu_SCDPT1'!SCDPT1_34ENDIN_25</vt:lpstr>
      <vt:lpstr>'GMIC_2020-Annu_SCDPT1'!SCDPT1_34ENDIN_26</vt:lpstr>
      <vt:lpstr>'GMIC_2020-Annu_SCDPT1'!SCDPT1_34ENDIN_27</vt:lpstr>
      <vt:lpstr>'GMIC_2020-Annu_SCDPT1'!SCDPT1_34ENDIN_28</vt:lpstr>
      <vt:lpstr>'GMIC_2020-Annu_SCDPT1'!SCDPT1_34ENDIN_29</vt:lpstr>
      <vt:lpstr>'GMIC_2020-Annu_SCDPT1'!SCDPT1_34ENDIN_3</vt:lpstr>
      <vt:lpstr>'GMIC_2020-Annu_SCDPT1'!SCDPT1_34ENDIN_30</vt:lpstr>
      <vt:lpstr>'GMIC_2020-Annu_SCDPT1'!SCDPT1_34ENDIN_31</vt:lpstr>
      <vt:lpstr>'GMIC_2020-Annu_SCDPT1'!SCDPT1_34ENDIN_32</vt:lpstr>
      <vt:lpstr>'GMIC_2020-Annu_SCDPT1'!SCDPT1_34ENDIN_33</vt:lpstr>
      <vt:lpstr>'GMIC_2020-Annu_SCDPT1'!SCDPT1_34ENDIN_34</vt:lpstr>
      <vt:lpstr>'GMIC_2020-Annu_SCDPT1'!SCDPT1_34ENDIN_35</vt:lpstr>
      <vt:lpstr>'GMIC_2020-Annu_SCDPT1'!SCDPT1_34ENDIN_4</vt:lpstr>
      <vt:lpstr>'GMIC_2020-Annu_SCDPT1'!SCDPT1_34ENDIN_5</vt:lpstr>
      <vt:lpstr>'GMIC_2020-Annu_SCDPT1'!SCDPT1_34ENDIN_6.01</vt:lpstr>
      <vt:lpstr>'GMIC_2020-Annu_SCDPT1'!SCDPT1_34ENDIN_6.02</vt:lpstr>
      <vt:lpstr>'GMIC_2020-Annu_SCDPT1'!SCDPT1_34ENDIN_6.03</vt:lpstr>
      <vt:lpstr>'GMIC_2020-Annu_SCDPT1'!SCDPT1_34ENDIN_7</vt:lpstr>
      <vt:lpstr>'GMIC_2020-Annu_SCDPT1'!SCDPT1_34ENDIN_8</vt:lpstr>
      <vt:lpstr>'GMIC_2020-Annu_SCDPT1'!SCDPT1_34ENDIN_9</vt:lpstr>
      <vt:lpstr>'GMIC_2020-Annu_SCDPT1'!SCDPT1_3500000_Range</vt:lpstr>
      <vt:lpstr>'GMIC_2020-Annu_SCDPT1'!SCDPT1_3500001_1</vt:lpstr>
      <vt:lpstr>'GMIC_2020-Annu_SCDPT1'!SCDPT1_3500001_10</vt:lpstr>
      <vt:lpstr>'GMIC_2020-Annu_SCDPT1'!SCDPT1_3500001_11</vt:lpstr>
      <vt:lpstr>'GMIC_2020-Annu_SCDPT1'!SCDPT1_3500001_12</vt:lpstr>
      <vt:lpstr>'GMIC_2020-Annu_SCDPT1'!SCDPT1_3500001_13</vt:lpstr>
      <vt:lpstr>'GMIC_2020-Annu_SCDPT1'!SCDPT1_3500001_14</vt:lpstr>
      <vt:lpstr>'GMIC_2020-Annu_SCDPT1'!SCDPT1_3500001_15</vt:lpstr>
      <vt:lpstr>'GMIC_2020-Annu_SCDPT1'!SCDPT1_3500001_16</vt:lpstr>
      <vt:lpstr>'GMIC_2020-Annu_SCDPT1'!SCDPT1_3500001_17</vt:lpstr>
      <vt:lpstr>'GMIC_2020-Annu_SCDPT1'!SCDPT1_3500001_18</vt:lpstr>
      <vt:lpstr>'GMIC_2020-Annu_SCDPT1'!SCDPT1_3500001_19</vt:lpstr>
      <vt:lpstr>'GMIC_2020-Annu_SCDPT1'!SCDPT1_3500001_2</vt:lpstr>
      <vt:lpstr>'GMIC_2020-Annu_SCDPT1'!SCDPT1_3500001_20</vt:lpstr>
      <vt:lpstr>'GMIC_2020-Annu_SCDPT1'!SCDPT1_3500001_21</vt:lpstr>
      <vt:lpstr>'GMIC_2020-Annu_SCDPT1'!SCDPT1_3500001_22</vt:lpstr>
      <vt:lpstr>'GMIC_2020-Annu_SCDPT1'!SCDPT1_3500001_24</vt:lpstr>
      <vt:lpstr>'GMIC_2020-Annu_SCDPT1'!SCDPT1_3500001_25</vt:lpstr>
      <vt:lpstr>'GMIC_2020-Annu_SCDPT1'!SCDPT1_3500001_26</vt:lpstr>
      <vt:lpstr>'GMIC_2020-Annu_SCDPT1'!SCDPT1_3500001_27</vt:lpstr>
      <vt:lpstr>'GMIC_2020-Annu_SCDPT1'!SCDPT1_3500001_28</vt:lpstr>
      <vt:lpstr>'GMIC_2020-Annu_SCDPT1'!SCDPT1_3500001_29</vt:lpstr>
      <vt:lpstr>'GMIC_2020-Annu_SCDPT1'!SCDPT1_3500001_3</vt:lpstr>
      <vt:lpstr>'GMIC_2020-Annu_SCDPT1'!SCDPT1_3500001_30</vt:lpstr>
      <vt:lpstr>'GMIC_2020-Annu_SCDPT1'!SCDPT1_3500001_31</vt:lpstr>
      <vt:lpstr>'GMIC_2020-Annu_SCDPT1'!SCDPT1_3500001_32</vt:lpstr>
      <vt:lpstr>'GMIC_2020-Annu_SCDPT1'!SCDPT1_3500001_33</vt:lpstr>
      <vt:lpstr>'GMIC_2020-Annu_SCDPT1'!SCDPT1_3500001_34</vt:lpstr>
      <vt:lpstr>'GMIC_2020-Annu_SCDPT1'!SCDPT1_3500001_35</vt:lpstr>
      <vt:lpstr>'GMIC_2020-Annu_SCDPT1'!SCDPT1_3500001_4</vt:lpstr>
      <vt:lpstr>'GMIC_2020-Annu_SCDPT1'!SCDPT1_3500001_5</vt:lpstr>
      <vt:lpstr>'GMIC_2020-Annu_SCDPT1'!SCDPT1_3500001_6.01</vt:lpstr>
      <vt:lpstr>'GMIC_2020-Annu_SCDPT1'!SCDPT1_3500001_6.02</vt:lpstr>
      <vt:lpstr>'GMIC_2020-Annu_SCDPT1'!SCDPT1_3500001_6.03</vt:lpstr>
      <vt:lpstr>'GMIC_2020-Annu_SCDPT1'!SCDPT1_3500001_7</vt:lpstr>
      <vt:lpstr>'GMIC_2020-Annu_SCDPT1'!SCDPT1_3500001_8</vt:lpstr>
      <vt:lpstr>'GMIC_2020-Annu_SCDPT1'!SCDPT1_3500001_9</vt:lpstr>
      <vt:lpstr>'GMIC_2020-Annu_SCDPT1'!SCDPT1_3599999_10</vt:lpstr>
      <vt:lpstr>'GMIC_2020-Annu_SCDPT1'!SCDPT1_3599999_11</vt:lpstr>
      <vt:lpstr>'GMIC_2020-Annu_SCDPT1'!SCDPT1_3599999_12</vt:lpstr>
      <vt:lpstr>'GMIC_2020-Annu_SCDPT1'!SCDPT1_3599999_13</vt:lpstr>
      <vt:lpstr>'GMIC_2020-Annu_SCDPT1'!SCDPT1_3599999_14</vt:lpstr>
      <vt:lpstr>'GMIC_2020-Annu_SCDPT1'!SCDPT1_3599999_15</vt:lpstr>
      <vt:lpstr>'GMIC_2020-Annu_SCDPT1'!SCDPT1_3599999_19</vt:lpstr>
      <vt:lpstr>'GMIC_2020-Annu_SCDPT1'!SCDPT1_3599999_20</vt:lpstr>
      <vt:lpstr>'GMIC_2020-Annu_SCDPT1'!SCDPT1_3599999_7</vt:lpstr>
      <vt:lpstr>'GMIC_2020-Annu_SCDPT1'!SCDPT1_3599999_9</vt:lpstr>
      <vt:lpstr>'GMIC_2020-Annu_SCDPT1'!SCDPT1_35BEGIN_1</vt:lpstr>
      <vt:lpstr>'GMIC_2020-Annu_SCDPT1'!SCDPT1_35BEGIN_10</vt:lpstr>
      <vt:lpstr>'GMIC_2020-Annu_SCDPT1'!SCDPT1_35BEGIN_11</vt:lpstr>
      <vt:lpstr>'GMIC_2020-Annu_SCDPT1'!SCDPT1_35BEGIN_12</vt:lpstr>
      <vt:lpstr>'GMIC_2020-Annu_SCDPT1'!SCDPT1_35BEGIN_13</vt:lpstr>
      <vt:lpstr>'GMIC_2020-Annu_SCDPT1'!SCDPT1_35BEGIN_14</vt:lpstr>
      <vt:lpstr>'GMIC_2020-Annu_SCDPT1'!SCDPT1_35BEGIN_15</vt:lpstr>
      <vt:lpstr>'GMIC_2020-Annu_SCDPT1'!SCDPT1_35BEGIN_16</vt:lpstr>
      <vt:lpstr>'GMIC_2020-Annu_SCDPT1'!SCDPT1_35BEGIN_17</vt:lpstr>
      <vt:lpstr>'GMIC_2020-Annu_SCDPT1'!SCDPT1_35BEGIN_18</vt:lpstr>
      <vt:lpstr>'GMIC_2020-Annu_SCDPT1'!SCDPT1_35BEGIN_19</vt:lpstr>
      <vt:lpstr>'GMIC_2020-Annu_SCDPT1'!SCDPT1_35BEGIN_2</vt:lpstr>
      <vt:lpstr>'GMIC_2020-Annu_SCDPT1'!SCDPT1_35BEGIN_20</vt:lpstr>
      <vt:lpstr>'GMIC_2020-Annu_SCDPT1'!SCDPT1_35BEGIN_21</vt:lpstr>
      <vt:lpstr>'GMIC_2020-Annu_SCDPT1'!SCDPT1_35BEGIN_22</vt:lpstr>
      <vt:lpstr>'GMIC_2020-Annu_SCDPT1'!SCDPT1_35BEGIN_23</vt:lpstr>
      <vt:lpstr>'GMIC_2020-Annu_SCDPT1'!SCDPT1_35BEGIN_24</vt:lpstr>
      <vt:lpstr>'GMIC_2020-Annu_SCDPT1'!SCDPT1_35BEGIN_25</vt:lpstr>
      <vt:lpstr>'GMIC_2020-Annu_SCDPT1'!SCDPT1_35BEGIN_26</vt:lpstr>
      <vt:lpstr>'GMIC_2020-Annu_SCDPT1'!SCDPT1_35BEGIN_27</vt:lpstr>
      <vt:lpstr>'GMIC_2020-Annu_SCDPT1'!SCDPT1_35BEGIN_28</vt:lpstr>
      <vt:lpstr>'GMIC_2020-Annu_SCDPT1'!SCDPT1_35BEGIN_29</vt:lpstr>
      <vt:lpstr>'GMIC_2020-Annu_SCDPT1'!SCDPT1_35BEGIN_3</vt:lpstr>
      <vt:lpstr>'GMIC_2020-Annu_SCDPT1'!SCDPT1_35BEGIN_30</vt:lpstr>
      <vt:lpstr>'GMIC_2020-Annu_SCDPT1'!SCDPT1_35BEGIN_31</vt:lpstr>
      <vt:lpstr>'GMIC_2020-Annu_SCDPT1'!SCDPT1_35BEGIN_32</vt:lpstr>
      <vt:lpstr>'GMIC_2020-Annu_SCDPT1'!SCDPT1_35BEGIN_33</vt:lpstr>
      <vt:lpstr>'GMIC_2020-Annu_SCDPT1'!SCDPT1_35BEGIN_34</vt:lpstr>
      <vt:lpstr>'GMIC_2020-Annu_SCDPT1'!SCDPT1_35BEGIN_35</vt:lpstr>
      <vt:lpstr>'GMIC_2020-Annu_SCDPT1'!SCDPT1_35BEGIN_4</vt:lpstr>
      <vt:lpstr>'GMIC_2020-Annu_SCDPT1'!SCDPT1_35BEGIN_5</vt:lpstr>
      <vt:lpstr>'GMIC_2020-Annu_SCDPT1'!SCDPT1_35BEGIN_6.01</vt:lpstr>
      <vt:lpstr>'GMIC_2020-Annu_SCDPT1'!SCDPT1_35BEGIN_6.02</vt:lpstr>
      <vt:lpstr>'GMIC_2020-Annu_SCDPT1'!SCDPT1_35BEGIN_6.03</vt:lpstr>
      <vt:lpstr>'GMIC_2020-Annu_SCDPT1'!SCDPT1_35BEGIN_7</vt:lpstr>
      <vt:lpstr>'GMIC_2020-Annu_SCDPT1'!SCDPT1_35BEGIN_8</vt:lpstr>
      <vt:lpstr>'GMIC_2020-Annu_SCDPT1'!SCDPT1_35BEGIN_9</vt:lpstr>
      <vt:lpstr>'GMIC_2020-Annu_SCDPT1'!SCDPT1_35ENDIN_10</vt:lpstr>
      <vt:lpstr>'GMIC_2020-Annu_SCDPT1'!SCDPT1_35ENDIN_11</vt:lpstr>
      <vt:lpstr>'GMIC_2020-Annu_SCDPT1'!SCDPT1_35ENDIN_12</vt:lpstr>
      <vt:lpstr>'GMIC_2020-Annu_SCDPT1'!SCDPT1_35ENDIN_13</vt:lpstr>
      <vt:lpstr>'GMIC_2020-Annu_SCDPT1'!SCDPT1_35ENDIN_14</vt:lpstr>
      <vt:lpstr>'GMIC_2020-Annu_SCDPT1'!SCDPT1_35ENDIN_15</vt:lpstr>
      <vt:lpstr>'GMIC_2020-Annu_SCDPT1'!SCDPT1_35ENDIN_16</vt:lpstr>
      <vt:lpstr>'GMIC_2020-Annu_SCDPT1'!SCDPT1_35ENDIN_17</vt:lpstr>
      <vt:lpstr>'GMIC_2020-Annu_SCDPT1'!SCDPT1_35ENDIN_18</vt:lpstr>
      <vt:lpstr>'GMIC_2020-Annu_SCDPT1'!SCDPT1_35ENDIN_19</vt:lpstr>
      <vt:lpstr>'GMIC_2020-Annu_SCDPT1'!SCDPT1_35ENDIN_2</vt:lpstr>
      <vt:lpstr>'GMIC_2020-Annu_SCDPT1'!SCDPT1_35ENDIN_20</vt:lpstr>
      <vt:lpstr>'GMIC_2020-Annu_SCDPT1'!SCDPT1_35ENDIN_21</vt:lpstr>
      <vt:lpstr>'GMIC_2020-Annu_SCDPT1'!SCDPT1_35ENDIN_22</vt:lpstr>
      <vt:lpstr>'GMIC_2020-Annu_SCDPT1'!SCDPT1_35ENDIN_23</vt:lpstr>
      <vt:lpstr>'GMIC_2020-Annu_SCDPT1'!SCDPT1_35ENDIN_24</vt:lpstr>
      <vt:lpstr>'GMIC_2020-Annu_SCDPT1'!SCDPT1_35ENDIN_25</vt:lpstr>
      <vt:lpstr>'GMIC_2020-Annu_SCDPT1'!SCDPT1_35ENDIN_26</vt:lpstr>
      <vt:lpstr>'GMIC_2020-Annu_SCDPT1'!SCDPT1_35ENDIN_27</vt:lpstr>
      <vt:lpstr>'GMIC_2020-Annu_SCDPT1'!SCDPT1_35ENDIN_28</vt:lpstr>
      <vt:lpstr>'GMIC_2020-Annu_SCDPT1'!SCDPT1_35ENDIN_29</vt:lpstr>
      <vt:lpstr>'GMIC_2020-Annu_SCDPT1'!SCDPT1_35ENDIN_3</vt:lpstr>
      <vt:lpstr>'GMIC_2020-Annu_SCDPT1'!SCDPT1_35ENDIN_30</vt:lpstr>
      <vt:lpstr>'GMIC_2020-Annu_SCDPT1'!SCDPT1_35ENDIN_31</vt:lpstr>
      <vt:lpstr>'GMIC_2020-Annu_SCDPT1'!SCDPT1_35ENDIN_32</vt:lpstr>
      <vt:lpstr>'GMIC_2020-Annu_SCDPT1'!SCDPT1_35ENDIN_33</vt:lpstr>
      <vt:lpstr>'GMIC_2020-Annu_SCDPT1'!SCDPT1_35ENDIN_34</vt:lpstr>
      <vt:lpstr>'GMIC_2020-Annu_SCDPT1'!SCDPT1_35ENDIN_35</vt:lpstr>
      <vt:lpstr>'GMIC_2020-Annu_SCDPT1'!SCDPT1_35ENDIN_4</vt:lpstr>
      <vt:lpstr>'GMIC_2020-Annu_SCDPT1'!SCDPT1_35ENDIN_5</vt:lpstr>
      <vt:lpstr>'GMIC_2020-Annu_SCDPT1'!SCDPT1_35ENDIN_6.01</vt:lpstr>
      <vt:lpstr>'GMIC_2020-Annu_SCDPT1'!SCDPT1_35ENDIN_6.02</vt:lpstr>
      <vt:lpstr>'GMIC_2020-Annu_SCDPT1'!SCDPT1_35ENDIN_6.03</vt:lpstr>
      <vt:lpstr>'GMIC_2020-Annu_SCDPT1'!SCDPT1_35ENDIN_7</vt:lpstr>
      <vt:lpstr>'GMIC_2020-Annu_SCDPT1'!SCDPT1_35ENDIN_8</vt:lpstr>
      <vt:lpstr>'GMIC_2020-Annu_SCDPT1'!SCDPT1_35ENDIN_9</vt:lpstr>
      <vt:lpstr>'GMIC_2020-Annu_SCDPT1'!SCDPT1_3899999_10</vt:lpstr>
      <vt:lpstr>'GMIC_2020-Annu_SCDPT1'!SCDPT1_3899999_11</vt:lpstr>
      <vt:lpstr>'GMIC_2020-Annu_SCDPT1'!SCDPT1_3899999_12</vt:lpstr>
      <vt:lpstr>'GMIC_2020-Annu_SCDPT1'!SCDPT1_3899999_13</vt:lpstr>
      <vt:lpstr>'GMIC_2020-Annu_SCDPT1'!SCDPT1_3899999_14</vt:lpstr>
      <vt:lpstr>'GMIC_2020-Annu_SCDPT1'!SCDPT1_3899999_15</vt:lpstr>
      <vt:lpstr>'GMIC_2020-Annu_SCDPT1'!SCDPT1_3899999_19</vt:lpstr>
      <vt:lpstr>'GMIC_2020-Annu_SCDPT1'!SCDPT1_3899999_20</vt:lpstr>
      <vt:lpstr>'GMIC_2020-Annu_SCDPT1'!SCDPT1_3899999_7</vt:lpstr>
      <vt:lpstr>'GMIC_2020-Annu_SCDPT1'!SCDPT1_3899999_9</vt:lpstr>
      <vt:lpstr>'GMIC_2020-Annu_SCDPT1'!SCDPT1_4200000_Range</vt:lpstr>
      <vt:lpstr>'GMIC_2020-Annu_SCDPT1'!SCDPT1_4299999_10</vt:lpstr>
      <vt:lpstr>'GMIC_2020-Annu_SCDPT1'!SCDPT1_4299999_11</vt:lpstr>
      <vt:lpstr>'GMIC_2020-Annu_SCDPT1'!SCDPT1_4299999_12</vt:lpstr>
      <vt:lpstr>'GMIC_2020-Annu_SCDPT1'!SCDPT1_4299999_13</vt:lpstr>
      <vt:lpstr>'GMIC_2020-Annu_SCDPT1'!SCDPT1_4299999_14</vt:lpstr>
      <vt:lpstr>'GMIC_2020-Annu_SCDPT1'!SCDPT1_4299999_15</vt:lpstr>
      <vt:lpstr>'GMIC_2020-Annu_SCDPT1'!SCDPT1_4299999_19</vt:lpstr>
      <vt:lpstr>'GMIC_2020-Annu_SCDPT1'!SCDPT1_4299999_20</vt:lpstr>
      <vt:lpstr>'GMIC_2020-Annu_SCDPT1'!SCDPT1_4299999_7</vt:lpstr>
      <vt:lpstr>'GMIC_2020-Annu_SCDPT1'!SCDPT1_4299999_9</vt:lpstr>
      <vt:lpstr>'GMIC_2020-Annu_SCDPT1'!SCDPT1_42BEGIN_1</vt:lpstr>
      <vt:lpstr>'GMIC_2020-Annu_SCDPT1'!SCDPT1_42BEGIN_10</vt:lpstr>
      <vt:lpstr>'GMIC_2020-Annu_SCDPT1'!SCDPT1_42BEGIN_11</vt:lpstr>
      <vt:lpstr>'GMIC_2020-Annu_SCDPT1'!SCDPT1_42BEGIN_12</vt:lpstr>
      <vt:lpstr>'GMIC_2020-Annu_SCDPT1'!SCDPT1_42BEGIN_13</vt:lpstr>
      <vt:lpstr>'GMIC_2020-Annu_SCDPT1'!SCDPT1_42BEGIN_14</vt:lpstr>
      <vt:lpstr>'GMIC_2020-Annu_SCDPT1'!SCDPT1_42BEGIN_15</vt:lpstr>
      <vt:lpstr>'GMIC_2020-Annu_SCDPT1'!SCDPT1_42BEGIN_16</vt:lpstr>
      <vt:lpstr>'GMIC_2020-Annu_SCDPT1'!SCDPT1_42BEGIN_17</vt:lpstr>
      <vt:lpstr>'GMIC_2020-Annu_SCDPT1'!SCDPT1_42BEGIN_18</vt:lpstr>
      <vt:lpstr>'GMIC_2020-Annu_SCDPT1'!SCDPT1_42BEGIN_19</vt:lpstr>
      <vt:lpstr>'GMIC_2020-Annu_SCDPT1'!SCDPT1_42BEGIN_2</vt:lpstr>
      <vt:lpstr>'GMIC_2020-Annu_SCDPT1'!SCDPT1_42BEGIN_20</vt:lpstr>
      <vt:lpstr>'GMIC_2020-Annu_SCDPT1'!SCDPT1_42BEGIN_21</vt:lpstr>
      <vt:lpstr>'GMIC_2020-Annu_SCDPT1'!SCDPT1_42BEGIN_22</vt:lpstr>
      <vt:lpstr>'GMIC_2020-Annu_SCDPT1'!SCDPT1_42BEGIN_23</vt:lpstr>
      <vt:lpstr>'GMIC_2020-Annu_SCDPT1'!SCDPT1_42BEGIN_24</vt:lpstr>
      <vt:lpstr>'GMIC_2020-Annu_SCDPT1'!SCDPT1_42BEGIN_25</vt:lpstr>
      <vt:lpstr>'GMIC_2020-Annu_SCDPT1'!SCDPT1_42BEGIN_26</vt:lpstr>
      <vt:lpstr>'GMIC_2020-Annu_SCDPT1'!SCDPT1_42BEGIN_27</vt:lpstr>
      <vt:lpstr>'GMIC_2020-Annu_SCDPT1'!SCDPT1_42BEGIN_28</vt:lpstr>
      <vt:lpstr>'GMIC_2020-Annu_SCDPT1'!SCDPT1_42BEGIN_29</vt:lpstr>
      <vt:lpstr>'GMIC_2020-Annu_SCDPT1'!SCDPT1_42BEGIN_3</vt:lpstr>
      <vt:lpstr>'GMIC_2020-Annu_SCDPT1'!SCDPT1_42BEGIN_30</vt:lpstr>
      <vt:lpstr>'GMIC_2020-Annu_SCDPT1'!SCDPT1_42BEGIN_31</vt:lpstr>
      <vt:lpstr>'GMIC_2020-Annu_SCDPT1'!SCDPT1_42BEGIN_32</vt:lpstr>
      <vt:lpstr>'GMIC_2020-Annu_SCDPT1'!SCDPT1_42BEGIN_33</vt:lpstr>
      <vt:lpstr>'GMIC_2020-Annu_SCDPT1'!SCDPT1_42BEGIN_34</vt:lpstr>
      <vt:lpstr>'GMIC_2020-Annu_SCDPT1'!SCDPT1_42BEGIN_35</vt:lpstr>
      <vt:lpstr>'GMIC_2020-Annu_SCDPT1'!SCDPT1_42BEGIN_4</vt:lpstr>
      <vt:lpstr>'GMIC_2020-Annu_SCDPT1'!SCDPT1_42BEGIN_5</vt:lpstr>
      <vt:lpstr>'GMIC_2020-Annu_SCDPT1'!SCDPT1_42BEGIN_6.01</vt:lpstr>
      <vt:lpstr>'GMIC_2020-Annu_SCDPT1'!SCDPT1_42BEGIN_6.02</vt:lpstr>
      <vt:lpstr>'GMIC_2020-Annu_SCDPT1'!SCDPT1_42BEGIN_6.03</vt:lpstr>
      <vt:lpstr>'GMIC_2020-Annu_SCDPT1'!SCDPT1_42BEGIN_7</vt:lpstr>
      <vt:lpstr>'GMIC_2020-Annu_SCDPT1'!SCDPT1_42BEGIN_8</vt:lpstr>
      <vt:lpstr>'GMIC_2020-Annu_SCDPT1'!SCDPT1_42BEGIN_9</vt:lpstr>
      <vt:lpstr>'GMIC_2020-Annu_SCDPT1'!SCDPT1_42ENDIN_10</vt:lpstr>
      <vt:lpstr>'GMIC_2020-Annu_SCDPT1'!SCDPT1_42ENDIN_11</vt:lpstr>
      <vt:lpstr>'GMIC_2020-Annu_SCDPT1'!SCDPT1_42ENDIN_12</vt:lpstr>
      <vt:lpstr>'GMIC_2020-Annu_SCDPT1'!SCDPT1_42ENDIN_13</vt:lpstr>
      <vt:lpstr>'GMIC_2020-Annu_SCDPT1'!SCDPT1_42ENDIN_14</vt:lpstr>
      <vt:lpstr>'GMIC_2020-Annu_SCDPT1'!SCDPT1_42ENDIN_15</vt:lpstr>
      <vt:lpstr>'GMIC_2020-Annu_SCDPT1'!SCDPT1_42ENDIN_16</vt:lpstr>
      <vt:lpstr>'GMIC_2020-Annu_SCDPT1'!SCDPT1_42ENDIN_17</vt:lpstr>
      <vt:lpstr>'GMIC_2020-Annu_SCDPT1'!SCDPT1_42ENDIN_18</vt:lpstr>
      <vt:lpstr>'GMIC_2020-Annu_SCDPT1'!SCDPT1_42ENDIN_19</vt:lpstr>
      <vt:lpstr>'GMIC_2020-Annu_SCDPT1'!SCDPT1_42ENDIN_2</vt:lpstr>
      <vt:lpstr>'GMIC_2020-Annu_SCDPT1'!SCDPT1_42ENDIN_20</vt:lpstr>
      <vt:lpstr>'GMIC_2020-Annu_SCDPT1'!SCDPT1_42ENDIN_21</vt:lpstr>
      <vt:lpstr>'GMIC_2020-Annu_SCDPT1'!SCDPT1_42ENDIN_22</vt:lpstr>
      <vt:lpstr>'GMIC_2020-Annu_SCDPT1'!SCDPT1_42ENDIN_23</vt:lpstr>
      <vt:lpstr>'GMIC_2020-Annu_SCDPT1'!SCDPT1_42ENDIN_24</vt:lpstr>
      <vt:lpstr>'GMIC_2020-Annu_SCDPT1'!SCDPT1_42ENDIN_25</vt:lpstr>
      <vt:lpstr>'GMIC_2020-Annu_SCDPT1'!SCDPT1_42ENDIN_26</vt:lpstr>
      <vt:lpstr>'GMIC_2020-Annu_SCDPT1'!SCDPT1_42ENDIN_27</vt:lpstr>
      <vt:lpstr>'GMIC_2020-Annu_SCDPT1'!SCDPT1_42ENDIN_28</vt:lpstr>
      <vt:lpstr>'GMIC_2020-Annu_SCDPT1'!SCDPT1_42ENDIN_29</vt:lpstr>
      <vt:lpstr>'GMIC_2020-Annu_SCDPT1'!SCDPT1_42ENDIN_3</vt:lpstr>
      <vt:lpstr>'GMIC_2020-Annu_SCDPT1'!SCDPT1_42ENDIN_30</vt:lpstr>
      <vt:lpstr>'GMIC_2020-Annu_SCDPT1'!SCDPT1_42ENDIN_31</vt:lpstr>
      <vt:lpstr>'GMIC_2020-Annu_SCDPT1'!SCDPT1_42ENDIN_32</vt:lpstr>
      <vt:lpstr>'GMIC_2020-Annu_SCDPT1'!SCDPT1_42ENDIN_33</vt:lpstr>
      <vt:lpstr>'GMIC_2020-Annu_SCDPT1'!SCDPT1_42ENDIN_34</vt:lpstr>
      <vt:lpstr>'GMIC_2020-Annu_SCDPT1'!SCDPT1_42ENDIN_35</vt:lpstr>
      <vt:lpstr>'GMIC_2020-Annu_SCDPT1'!SCDPT1_42ENDIN_4</vt:lpstr>
      <vt:lpstr>'GMIC_2020-Annu_SCDPT1'!SCDPT1_42ENDIN_5</vt:lpstr>
      <vt:lpstr>'GMIC_2020-Annu_SCDPT1'!SCDPT1_42ENDIN_6.01</vt:lpstr>
      <vt:lpstr>'GMIC_2020-Annu_SCDPT1'!SCDPT1_42ENDIN_6.02</vt:lpstr>
      <vt:lpstr>'GMIC_2020-Annu_SCDPT1'!SCDPT1_42ENDIN_6.03</vt:lpstr>
      <vt:lpstr>'GMIC_2020-Annu_SCDPT1'!SCDPT1_42ENDIN_7</vt:lpstr>
      <vt:lpstr>'GMIC_2020-Annu_SCDPT1'!SCDPT1_42ENDIN_8</vt:lpstr>
      <vt:lpstr>'GMIC_2020-Annu_SCDPT1'!SCDPT1_42ENDIN_9</vt:lpstr>
      <vt:lpstr>'GMIC_2020-Annu_SCDPT1'!SCDPT1_4300000_Range</vt:lpstr>
      <vt:lpstr>'GMIC_2020-Annu_SCDPT1'!SCDPT1_4399999_10</vt:lpstr>
      <vt:lpstr>'GMIC_2020-Annu_SCDPT1'!SCDPT1_4399999_11</vt:lpstr>
      <vt:lpstr>'GMIC_2020-Annu_SCDPT1'!SCDPT1_4399999_12</vt:lpstr>
      <vt:lpstr>'GMIC_2020-Annu_SCDPT1'!SCDPT1_4399999_13</vt:lpstr>
      <vt:lpstr>'GMIC_2020-Annu_SCDPT1'!SCDPT1_4399999_14</vt:lpstr>
      <vt:lpstr>'GMIC_2020-Annu_SCDPT1'!SCDPT1_4399999_15</vt:lpstr>
      <vt:lpstr>'GMIC_2020-Annu_SCDPT1'!SCDPT1_4399999_19</vt:lpstr>
      <vt:lpstr>'GMIC_2020-Annu_SCDPT1'!SCDPT1_4399999_20</vt:lpstr>
      <vt:lpstr>'GMIC_2020-Annu_SCDPT1'!SCDPT1_4399999_7</vt:lpstr>
      <vt:lpstr>'GMIC_2020-Annu_SCDPT1'!SCDPT1_4399999_9</vt:lpstr>
      <vt:lpstr>'GMIC_2020-Annu_SCDPT1'!SCDPT1_43BEGIN_1</vt:lpstr>
      <vt:lpstr>'GMIC_2020-Annu_SCDPT1'!SCDPT1_43BEGIN_10</vt:lpstr>
      <vt:lpstr>'GMIC_2020-Annu_SCDPT1'!SCDPT1_43BEGIN_11</vt:lpstr>
      <vt:lpstr>'GMIC_2020-Annu_SCDPT1'!SCDPT1_43BEGIN_12</vt:lpstr>
      <vt:lpstr>'GMIC_2020-Annu_SCDPT1'!SCDPT1_43BEGIN_13</vt:lpstr>
      <vt:lpstr>'GMIC_2020-Annu_SCDPT1'!SCDPT1_43BEGIN_14</vt:lpstr>
      <vt:lpstr>'GMIC_2020-Annu_SCDPT1'!SCDPT1_43BEGIN_15</vt:lpstr>
      <vt:lpstr>'GMIC_2020-Annu_SCDPT1'!SCDPT1_43BEGIN_16</vt:lpstr>
      <vt:lpstr>'GMIC_2020-Annu_SCDPT1'!SCDPT1_43BEGIN_17</vt:lpstr>
      <vt:lpstr>'GMIC_2020-Annu_SCDPT1'!SCDPT1_43BEGIN_18</vt:lpstr>
      <vt:lpstr>'GMIC_2020-Annu_SCDPT1'!SCDPT1_43BEGIN_19</vt:lpstr>
      <vt:lpstr>'GMIC_2020-Annu_SCDPT1'!SCDPT1_43BEGIN_2</vt:lpstr>
      <vt:lpstr>'GMIC_2020-Annu_SCDPT1'!SCDPT1_43BEGIN_20</vt:lpstr>
      <vt:lpstr>'GMIC_2020-Annu_SCDPT1'!SCDPT1_43BEGIN_21</vt:lpstr>
      <vt:lpstr>'GMIC_2020-Annu_SCDPT1'!SCDPT1_43BEGIN_22</vt:lpstr>
      <vt:lpstr>'GMIC_2020-Annu_SCDPT1'!SCDPT1_43BEGIN_23</vt:lpstr>
      <vt:lpstr>'GMIC_2020-Annu_SCDPT1'!SCDPT1_43BEGIN_24</vt:lpstr>
      <vt:lpstr>'GMIC_2020-Annu_SCDPT1'!SCDPT1_43BEGIN_25</vt:lpstr>
      <vt:lpstr>'GMIC_2020-Annu_SCDPT1'!SCDPT1_43BEGIN_26</vt:lpstr>
      <vt:lpstr>'GMIC_2020-Annu_SCDPT1'!SCDPT1_43BEGIN_27</vt:lpstr>
      <vt:lpstr>'GMIC_2020-Annu_SCDPT1'!SCDPT1_43BEGIN_28</vt:lpstr>
      <vt:lpstr>'GMIC_2020-Annu_SCDPT1'!SCDPT1_43BEGIN_29</vt:lpstr>
      <vt:lpstr>'GMIC_2020-Annu_SCDPT1'!SCDPT1_43BEGIN_3</vt:lpstr>
      <vt:lpstr>'GMIC_2020-Annu_SCDPT1'!SCDPT1_43BEGIN_30</vt:lpstr>
      <vt:lpstr>'GMIC_2020-Annu_SCDPT1'!SCDPT1_43BEGIN_31</vt:lpstr>
      <vt:lpstr>'GMIC_2020-Annu_SCDPT1'!SCDPT1_43BEGIN_32</vt:lpstr>
      <vt:lpstr>'GMIC_2020-Annu_SCDPT1'!SCDPT1_43BEGIN_33</vt:lpstr>
      <vt:lpstr>'GMIC_2020-Annu_SCDPT1'!SCDPT1_43BEGIN_34</vt:lpstr>
      <vt:lpstr>'GMIC_2020-Annu_SCDPT1'!SCDPT1_43BEGIN_35</vt:lpstr>
      <vt:lpstr>'GMIC_2020-Annu_SCDPT1'!SCDPT1_43BEGIN_4</vt:lpstr>
      <vt:lpstr>'GMIC_2020-Annu_SCDPT1'!SCDPT1_43BEGIN_5</vt:lpstr>
      <vt:lpstr>'GMIC_2020-Annu_SCDPT1'!SCDPT1_43BEGIN_6.01</vt:lpstr>
      <vt:lpstr>'GMIC_2020-Annu_SCDPT1'!SCDPT1_43BEGIN_6.02</vt:lpstr>
      <vt:lpstr>'GMIC_2020-Annu_SCDPT1'!SCDPT1_43BEGIN_6.03</vt:lpstr>
      <vt:lpstr>'GMIC_2020-Annu_SCDPT1'!SCDPT1_43BEGIN_7</vt:lpstr>
      <vt:lpstr>'GMIC_2020-Annu_SCDPT1'!SCDPT1_43BEGIN_8</vt:lpstr>
      <vt:lpstr>'GMIC_2020-Annu_SCDPT1'!SCDPT1_43BEGIN_9</vt:lpstr>
      <vt:lpstr>'GMIC_2020-Annu_SCDPT1'!SCDPT1_43ENDIN_10</vt:lpstr>
      <vt:lpstr>'GMIC_2020-Annu_SCDPT1'!SCDPT1_43ENDIN_11</vt:lpstr>
      <vt:lpstr>'GMIC_2020-Annu_SCDPT1'!SCDPT1_43ENDIN_12</vt:lpstr>
      <vt:lpstr>'GMIC_2020-Annu_SCDPT1'!SCDPT1_43ENDIN_13</vt:lpstr>
      <vt:lpstr>'GMIC_2020-Annu_SCDPT1'!SCDPT1_43ENDIN_14</vt:lpstr>
      <vt:lpstr>'GMIC_2020-Annu_SCDPT1'!SCDPT1_43ENDIN_15</vt:lpstr>
      <vt:lpstr>'GMIC_2020-Annu_SCDPT1'!SCDPT1_43ENDIN_16</vt:lpstr>
      <vt:lpstr>'GMIC_2020-Annu_SCDPT1'!SCDPT1_43ENDIN_17</vt:lpstr>
      <vt:lpstr>'GMIC_2020-Annu_SCDPT1'!SCDPT1_43ENDIN_18</vt:lpstr>
      <vt:lpstr>'GMIC_2020-Annu_SCDPT1'!SCDPT1_43ENDIN_19</vt:lpstr>
      <vt:lpstr>'GMIC_2020-Annu_SCDPT1'!SCDPT1_43ENDIN_2</vt:lpstr>
      <vt:lpstr>'GMIC_2020-Annu_SCDPT1'!SCDPT1_43ENDIN_20</vt:lpstr>
      <vt:lpstr>'GMIC_2020-Annu_SCDPT1'!SCDPT1_43ENDIN_21</vt:lpstr>
      <vt:lpstr>'GMIC_2020-Annu_SCDPT1'!SCDPT1_43ENDIN_22</vt:lpstr>
      <vt:lpstr>'GMIC_2020-Annu_SCDPT1'!SCDPT1_43ENDIN_23</vt:lpstr>
      <vt:lpstr>'GMIC_2020-Annu_SCDPT1'!SCDPT1_43ENDIN_24</vt:lpstr>
      <vt:lpstr>'GMIC_2020-Annu_SCDPT1'!SCDPT1_43ENDIN_25</vt:lpstr>
      <vt:lpstr>'GMIC_2020-Annu_SCDPT1'!SCDPT1_43ENDIN_26</vt:lpstr>
      <vt:lpstr>'GMIC_2020-Annu_SCDPT1'!SCDPT1_43ENDIN_27</vt:lpstr>
      <vt:lpstr>'GMIC_2020-Annu_SCDPT1'!SCDPT1_43ENDIN_28</vt:lpstr>
      <vt:lpstr>'GMIC_2020-Annu_SCDPT1'!SCDPT1_43ENDIN_29</vt:lpstr>
      <vt:lpstr>'GMIC_2020-Annu_SCDPT1'!SCDPT1_43ENDIN_3</vt:lpstr>
      <vt:lpstr>'GMIC_2020-Annu_SCDPT1'!SCDPT1_43ENDIN_30</vt:lpstr>
      <vt:lpstr>'GMIC_2020-Annu_SCDPT1'!SCDPT1_43ENDIN_31</vt:lpstr>
      <vt:lpstr>'GMIC_2020-Annu_SCDPT1'!SCDPT1_43ENDIN_32</vt:lpstr>
      <vt:lpstr>'GMIC_2020-Annu_SCDPT1'!SCDPT1_43ENDIN_33</vt:lpstr>
      <vt:lpstr>'GMIC_2020-Annu_SCDPT1'!SCDPT1_43ENDIN_34</vt:lpstr>
      <vt:lpstr>'GMIC_2020-Annu_SCDPT1'!SCDPT1_43ENDIN_35</vt:lpstr>
      <vt:lpstr>'GMIC_2020-Annu_SCDPT1'!SCDPT1_43ENDIN_4</vt:lpstr>
      <vt:lpstr>'GMIC_2020-Annu_SCDPT1'!SCDPT1_43ENDIN_5</vt:lpstr>
      <vt:lpstr>'GMIC_2020-Annu_SCDPT1'!SCDPT1_43ENDIN_6.01</vt:lpstr>
      <vt:lpstr>'GMIC_2020-Annu_SCDPT1'!SCDPT1_43ENDIN_6.02</vt:lpstr>
      <vt:lpstr>'GMIC_2020-Annu_SCDPT1'!SCDPT1_43ENDIN_6.03</vt:lpstr>
      <vt:lpstr>'GMIC_2020-Annu_SCDPT1'!SCDPT1_43ENDIN_7</vt:lpstr>
      <vt:lpstr>'GMIC_2020-Annu_SCDPT1'!SCDPT1_43ENDIN_8</vt:lpstr>
      <vt:lpstr>'GMIC_2020-Annu_SCDPT1'!SCDPT1_43ENDIN_9</vt:lpstr>
      <vt:lpstr>'GMIC_2020-Annu_SCDPT1'!SCDPT1_4400000_Range</vt:lpstr>
      <vt:lpstr>'GMIC_2020-Annu_SCDPT1'!SCDPT1_4499999_10</vt:lpstr>
      <vt:lpstr>'GMIC_2020-Annu_SCDPT1'!SCDPT1_4499999_11</vt:lpstr>
      <vt:lpstr>'GMIC_2020-Annu_SCDPT1'!SCDPT1_4499999_12</vt:lpstr>
      <vt:lpstr>'GMIC_2020-Annu_SCDPT1'!SCDPT1_4499999_13</vt:lpstr>
      <vt:lpstr>'GMIC_2020-Annu_SCDPT1'!SCDPT1_4499999_14</vt:lpstr>
      <vt:lpstr>'GMIC_2020-Annu_SCDPT1'!SCDPT1_4499999_15</vt:lpstr>
      <vt:lpstr>'GMIC_2020-Annu_SCDPT1'!SCDPT1_4499999_19</vt:lpstr>
      <vt:lpstr>'GMIC_2020-Annu_SCDPT1'!SCDPT1_4499999_20</vt:lpstr>
      <vt:lpstr>'GMIC_2020-Annu_SCDPT1'!SCDPT1_4499999_7</vt:lpstr>
      <vt:lpstr>'GMIC_2020-Annu_SCDPT1'!SCDPT1_4499999_9</vt:lpstr>
      <vt:lpstr>'GMIC_2020-Annu_SCDPT1'!SCDPT1_44BEGIN_1</vt:lpstr>
      <vt:lpstr>'GMIC_2020-Annu_SCDPT1'!SCDPT1_44BEGIN_10</vt:lpstr>
      <vt:lpstr>'GMIC_2020-Annu_SCDPT1'!SCDPT1_44BEGIN_11</vt:lpstr>
      <vt:lpstr>'GMIC_2020-Annu_SCDPT1'!SCDPT1_44BEGIN_12</vt:lpstr>
      <vt:lpstr>'GMIC_2020-Annu_SCDPT1'!SCDPT1_44BEGIN_13</vt:lpstr>
      <vt:lpstr>'GMIC_2020-Annu_SCDPT1'!SCDPT1_44BEGIN_14</vt:lpstr>
      <vt:lpstr>'GMIC_2020-Annu_SCDPT1'!SCDPT1_44BEGIN_15</vt:lpstr>
      <vt:lpstr>'GMIC_2020-Annu_SCDPT1'!SCDPT1_44BEGIN_16</vt:lpstr>
      <vt:lpstr>'GMIC_2020-Annu_SCDPT1'!SCDPT1_44BEGIN_17</vt:lpstr>
      <vt:lpstr>'GMIC_2020-Annu_SCDPT1'!SCDPT1_44BEGIN_18</vt:lpstr>
      <vt:lpstr>'GMIC_2020-Annu_SCDPT1'!SCDPT1_44BEGIN_19</vt:lpstr>
      <vt:lpstr>'GMIC_2020-Annu_SCDPT1'!SCDPT1_44BEGIN_2</vt:lpstr>
      <vt:lpstr>'GMIC_2020-Annu_SCDPT1'!SCDPT1_44BEGIN_20</vt:lpstr>
      <vt:lpstr>'GMIC_2020-Annu_SCDPT1'!SCDPT1_44BEGIN_21</vt:lpstr>
      <vt:lpstr>'GMIC_2020-Annu_SCDPT1'!SCDPT1_44BEGIN_22</vt:lpstr>
      <vt:lpstr>'GMIC_2020-Annu_SCDPT1'!SCDPT1_44BEGIN_23</vt:lpstr>
      <vt:lpstr>'GMIC_2020-Annu_SCDPT1'!SCDPT1_44BEGIN_24</vt:lpstr>
      <vt:lpstr>'GMIC_2020-Annu_SCDPT1'!SCDPT1_44BEGIN_25</vt:lpstr>
      <vt:lpstr>'GMIC_2020-Annu_SCDPT1'!SCDPT1_44BEGIN_26</vt:lpstr>
      <vt:lpstr>'GMIC_2020-Annu_SCDPT1'!SCDPT1_44BEGIN_27</vt:lpstr>
      <vt:lpstr>'GMIC_2020-Annu_SCDPT1'!SCDPT1_44BEGIN_28</vt:lpstr>
      <vt:lpstr>'GMIC_2020-Annu_SCDPT1'!SCDPT1_44BEGIN_29</vt:lpstr>
      <vt:lpstr>'GMIC_2020-Annu_SCDPT1'!SCDPT1_44BEGIN_3</vt:lpstr>
      <vt:lpstr>'GMIC_2020-Annu_SCDPT1'!SCDPT1_44BEGIN_30</vt:lpstr>
      <vt:lpstr>'GMIC_2020-Annu_SCDPT1'!SCDPT1_44BEGIN_31</vt:lpstr>
      <vt:lpstr>'GMIC_2020-Annu_SCDPT1'!SCDPT1_44BEGIN_32</vt:lpstr>
      <vt:lpstr>'GMIC_2020-Annu_SCDPT1'!SCDPT1_44BEGIN_33</vt:lpstr>
      <vt:lpstr>'GMIC_2020-Annu_SCDPT1'!SCDPT1_44BEGIN_34</vt:lpstr>
      <vt:lpstr>'GMIC_2020-Annu_SCDPT1'!SCDPT1_44BEGIN_35</vt:lpstr>
      <vt:lpstr>'GMIC_2020-Annu_SCDPT1'!SCDPT1_44BEGIN_4</vt:lpstr>
      <vt:lpstr>'GMIC_2020-Annu_SCDPT1'!SCDPT1_44BEGIN_5</vt:lpstr>
      <vt:lpstr>'GMIC_2020-Annu_SCDPT1'!SCDPT1_44BEGIN_6.01</vt:lpstr>
      <vt:lpstr>'GMIC_2020-Annu_SCDPT1'!SCDPT1_44BEGIN_6.02</vt:lpstr>
      <vt:lpstr>'GMIC_2020-Annu_SCDPT1'!SCDPT1_44BEGIN_6.03</vt:lpstr>
      <vt:lpstr>'GMIC_2020-Annu_SCDPT1'!SCDPT1_44BEGIN_7</vt:lpstr>
      <vt:lpstr>'GMIC_2020-Annu_SCDPT1'!SCDPT1_44BEGIN_8</vt:lpstr>
      <vt:lpstr>'GMIC_2020-Annu_SCDPT1'!SCDPT1_44BEGIN_9</vt:lpstr>
      <vt:lpstr>'GMIC_2020-Annu_SCDPT1'!SCDPT1_44ENDIN_10</vt:lpstr>
      <vt:lpstr>'GMIC_2020-Annu_SCDPT1'!SCDPT1_44ENDIN_11</vt:lpstr>
      <vt:lpstr>'GMIC_2020-Annu_SCDPT1'!SCDPT1_44ENDIN_12</vt:lpstr>
      <vt:lpstr>'GMIC_2020-Annu_SCDPT1'!SCDPT1_44ENDIN_13</vt:lpstr>
      <vt:lpstr>'GMIC_2020-Annu_SCDPT1'!SCDPT1_44ENDIN_14</vt:lpstr>
      <vt:lpstr>'GMIC_2020-Annu_SCDPT1'!SCDPT1_44ENDIN_15</vt:lpstr>
      <vt:lpstr>'GMIC_2020-Annu_SCDPT1'!SCDPT1_44ENDIN_16</vt:lpstr>
      <vt:lpstr>'GMIC_2020-Annu_SCDPT1'!SCDPT1_44ENDIN_17</vt:lpstr>
      <vt:lpstr>'GMIC_2020-Annu_SCDPT1'!SCDPT1_44ENDIN_18</vt:lpstr>
      <vt:lpstr>'GMIC_2020-Annu_SCDPT1'!SCDPT1_44ENDIN_19</vt:lpstr>
      <vt:lpstr>'GMIC_2020-Annu_SCDPT1'!SCDPT1_44ENDIN_2</vt:lpstr>
      <vt:lpstr>'GMIC_2020-Annu_SCDPT1'!SCDPT1_44ENDIN_20</vt:lpstr>
      <vt:lpstr>'GMIC_2020-Annu_SCDPT1'!SCDPT1_44ENDIN_21</vt:lpstr>
      <vt:lpstr>'GMIC_2020-Annu_SCDPT1'!SCDPT1_44ENDIN_22</vt:lpstr>
      <vt:lpstr>'GMIC_2020-Annu_SCDPT1'!SCDPT1_44ENDIN_23</vt:lpstr>
      <vt:lpstr>'GMIC_2020-Annu_SCDPT1'!SCDPT1_44ENDIN_24</vt:lpstr>
      <vt:lpstr>'GMIC_2020-Annu_SCDPT1'!SCDPT1_44ENDIN_25</vt:lpstr>
      <vt:lpstr>'GMIC_2020-Annu_SCDPT1'!SCDPT1_44ENDIN_26</vt:lpstr>
      <vt:lpstr>'GMIC_2020-Annu_SCDPT1'!SCDPT1_44ENDIN_27</vt:lpstr>
      <vt:lpstr>'GMIC_2020-Annu_SCDPT1'!SCDPT1_44ENDIN_28</vt:lpstr>
      <vt:lpstr>'GMIC_2020-Annu_SCDPT1'!SCDPT1_44ENDIN_29</vt:lpstr>
      <vt:lpstr>'GMIC_2020-Annu_SCDPT1'!SCDPT1_44ENDIN_3</vt:lpstr>
      <vt:lpstr>'GMIC_2020-Annu_SCDPT1'!SCDPT1_44ENDIN_30</vt:lpstr>
      <vt:lpstr>'GMIC_2020-Annu_SCDPT1'!SCDPT1_44ENDIN_31</vt:lpstr>
      <vt:lpstr>'GMIC_2020-Annu_SCDPT1'!SCDPT1_44ENDIN_32</vt:lpstr>
      <vt:lpstr>'GMIC_2020-Annu_SCDPT1'!SCDPT1_44ENDIN_33</vt:lpstr>
      <vt:lpstr>'GMIC_2020-Annu_SCDPT1'!SCDPT1_44ENDIN_34</vt:lpstr>
      <vt:lpstr>'GMIC_2020-Annu_SCDPT1'!SCDPT1_44ENDIN_35</vt:lpstr>
      <vt:lpstr>'GMIC_2020-Annu_SCDPT1'!SCDPT1_44ENDIN_4</vt:lpstr>
      <vt:lpstr>'GMIC_2020-Annu_SCDPT1'!SCDPT1_44ENDIN_5</vt:lpstr>
      <vt:lpstr>'GMIC_2020-Annu_SCDPT1'!SCDPT1_44ENDIN_6.01</vt:lpstr>
      <vt:lpstr>'GMIC_2020-Annu_SCDPT1'!SCDPT1_44ENDIN_6.02</vt:lpstr>
      <vt:lpstr>'GMIC_2020-Annu_SCDPT1'!SCDPT1_44ENDIN_6.03</vt:lpstr>
      <vt:lpstr>'GMIC_2020-Annu_SCDPT1'!SCDPT1_44ENDIN_7</vt:lpstr>
      <vt:lpstr>'GMIC_2020-Annu_SCDPT1'!SCDPT1_44ENDIN_8</vt:lpstr>
      <vt:lpstr>'GMIC_2020-Annu_SCDPT1'!SCDPT1_44ENDIN_9</vt:lpstr>
      <vt:lpstr>'GMIC_2020-Annu_SCDPT1'!SCDPT1_4500000_Range</vt:lpstr>
      <vt:lpstr>'GMIC_2020-Annu_SCDPT1'!SCDPT1_4599999_10</vt:lpstr>
      <vt:lpstr>'GMIC_2020-Annu_SCDPT1'!SCDPT1_4599999_11</vt:lpstr>
      <vt:lpstr>'GMIC_2020-Annu_SCDPT1'!SCDPT1_4599999_12</vt:lpstr>
      <vt:lpstr>'GMIC_2020-Annu_SCDPT1'!SCDPT1_4599999_13</vt:lpstr>
      <vt:lpstr>'GMIC_2020-Annu_SCDPT1'!SCDPT1_4599999_14</vt:lpstr>
      <vt:lpstr>'GMIC_2020-Annu_SCDPT1'!SCDPT1_4599999_15</vt:lpstr>
      <vt:lpstr>'GMIC_2020-Annu_SCDPT1'!SCDPT1_4599999_19</vt:lpstr>
      <vt:lpstr>'GMIC_2020-Annu_SCDPT1'!SCDPT1_4599999_20</vt:lpstr>
      <vt:lpstr>'GMIC_2020-Annu_SCDPT1'!SCDPT1_4599999_7</vt:lpstr>
      <vt:lpstr>'GMIC_2020-Annu_SCDPT1'!SCDPT1_4599999_9</vt:lpstr>
      <vt:lpstr>'GMIC_2020-Annu_SCDPT1'!SCDPT1_45BEGIN_1</vt:lpstr>
      <vt:lpstr>'GMIC_2020-Annu_SCDPT1'!SCDPT1_45BEGIN_10</vt:lpstr>
      <vt:lpstr>'GMIC_2020-Annu_SCDPT1'!SCDPT1_45BEGIN_11</vt:lpstr>
      <vt:lpstr>'GMIC_2020-Annu_SCDPT1'!SCDPT1_45BEGIN_12</vt:lpstr>
      <vt:lpstr>'GMIC_2020-Annu_SCDPT1'!SCDPT1_45BEGIN_13</vt:lpstr>
      <vt:lpstr>'GMIC_2020-Annu_SCDPT1'!SCDPT1_45BEGIN_14</vt:lpstr>
      <vt:lpstr>'GMIC_2020-Annu_SCDPT1'!SCDPT1_45BEGIN_15</vt:lpstr>
      <vt:lpstr>'GMIC_2020-Annu_SCDPT1'!SCDPT1_45BEGIN_16</vt:lpstr>
      <vt:lpstr>'GMIC_2020-Annu_SCDPT1'!SCDPT1_45BEGIN_17</vt:lpstr>
      <vt:lpstr>'GMIC_2020-Annu_SCDPT1'!SCDPT1_45BEGIN_18</vt:lpstr>
      <vt:lpstr>'GMIC_2020-Annu_SCDPT1'!SCDPT1_45BEGIN_19</vt:lpstr>
      <vt:lpstr>'GMIC_2020-Annu_SCDPT1'!SCDPT1_45BEGIN_2</vt:lpstr>
      <vt:lpstr>'GMIC_2020-Annu_SCDPT1'!SCDPT1_45BEGIN_20</vt:lpstr>
      <vt:lpstr>'GMIC_2020-Annu_SCDPT1'!SCDPT1_45BEGIN_21</vt:lpstr>
      <vt:lpstr>'GMIC_2020-Annu_SCDPT1'!SCDPT1_45BEGIN_22</vt:lpstr>
      <vt:lpstr>'GMIC_2020-Annu_SCDPT1'!SCDPT1_45BEGIN_23</vt:lpstr>
      <vt:lpstr>'GMIC_2020-Annu_SCDPT1'!SCDPT1_45BEGIN_24</vt:lpstr>
      <vt:lpstr>'GMIC_2020-Annu_SCDPT1'!SCDPT1_45BEGIN_25</vt:lpstr>
      <vt:lpstr>'GMIC_2020-Annu_SCDPT1'!SCDPT1_45BEGIN_26</vt:lpstr>
      <vt:lpstr>'GMIC_2020-Annu_SCDPT1'!SCDPT1_45BEGIN_27</vt:lpstr>
      <vt:lpstr>'GMIC_2020-Annu_SCDPT1'!SCDPT1_45BEGIN_28</vt:lpstr>
      <vt:lpstr>'GMIC_2020-Annu_SCDPT1'!SCDPT1_45BEGIN_29</vt:lpstr>
      <vt:lpstr>'GMIC_2020-Annu_SCDPT1'!SCDPT1_45BEGIN_3</vt:lpstr>
      <vt:lpstr>'GMIC_2020-Annu_SCDPT1'!SCDPT1_45BEGIN_30</vt:lpstr>
      <vt:lpstr>'GMIC_2020-Annu_SCDPT1'!SCDPT1_45BEGIN_31</vt:lpstr>
      <vt:lpstr>'GMIC_2020-Annu_SCDPT1'!SCDPT1_45BEGIN_32</vt:lpstr>
      <vt:lpstr>'GMIC_2020-Annu_SCDPT1'!SCDPT1_45BEGIN_33</vt:lpstr>
      <vt:lpstr>'GMIC_2020-Annu_SCDPT1'!SCDPT1_45BEGIN_34</vt:lpstr>
      <vt:lpstr>'GMIC_2020-Annu_SCDPT1'!SCDPT1_45BEGIN_35</vt:lpstr>
      <vt:lpstr>'GMIC_2020-Annu_SCDPT1'!SCDPT1_45BEGIN_4</vt:lpstr>
      <vt:lpstr>'GMIC_2020-Annu_SCDPT1'!SCDPT1_45BEGIN_5</vt:lpstr>
      <vt:lpstr>'GMIC_2020-Annu_SCDPT1'!SCDPT1_45BEGIN_6.01</vt:lpstr>
      <vt:lpstr>'GMIC_2020-Annu_SCDPT1'!SCDPT1_45BEGIN_6.02</vt:lpstr>
      <vt:lpstr>'GMIC_2020-Annu_SCDPT1'!SCDPT1_45BEGIN_6.03</vt:lpstr>
      <vt:lpstr>'GMIC_2020-Annu_SCDPT1'!SCDPT1_45BEGIN_7</vt:lpstr>
      <vt:lpstr>'GMIC_2020-Annu_SCDPT1'!SCDPT1_45BEGIN_8</vt:lpstr>
      <vt:lpstr>'GMIC_2020-Annu_SCDPT1'!SCDPT1_45BEGIN_9</vt:lpstr>
      <vt:lpstr>'GMIC_2020-Annu_SCDPT1'!SCDPT1_45ENDIN_10</vt:lpstr>
      <vt:lpstr>'GMIC_2020-Annu_SCDPT1'!SCDPT1_45ENDIN_11</vt:lpstr>
      <vt:lpstr>'GMIC_2020-Annu_SCDPT1'!SCDPT1_45ENDIN_12</vt:lpstr>
      <vt:lpstr>'GMIC_2020-Annu_SCDPT1'!SCDPT1_45ENDIN_13</vt:lpstr>
      <vt:lpstr>'GMIC_2020-Annu_SCDPT1'!SCDPT1_45ENDIN_14</vt:lpstr>
      <vt:lpstr>'GMIC_2020-Annu_SCDPT1'!SCDPT1_45ENDIN_15</vt:lpstr>
      <vt:lpstr>'GMIC_2020-Annu_SCDPT1'!SCDPT1_45ENDIN_16</vt:lpstr>
      <vt:lpstr>'GMIC_2020-Annu_SCDPT1'!SCDPT1_45ENDIN_17</vt:lpstr>
      <vt:lpstr>'GMIC_2020-Annu_SCDPT1'!SCDPT1_45ENDIN_18</vt:lpstr>
      <vt:lpstr>'GMIC_2020-Annu_SCDPT1'!SCDPT1_45ENDIN_19</vt:lpstr>
      <vt:lpstr>'GMIC_2020-Annu_SCDPT1'!SCDPT1_45ENDIN_2</vt:lpstr>
      <vt:lpstr>'GMIC_2020-Annu_SCDPT1'!SCDPT1_45ENDIN_20</vt:lpstr>
      <vt:lpstr>'GMIC_2020-Annu_SCDPT1'!SCDPT1_45ENDIN_21</vt:lpstr>
      <vt:lpstr>'GMIC_2020-Annu_SCDPT1'!SCDPT1_45ENDIN_22</vt:lpstr>
      <vt:lpstr>'GMIC_2020-Annu_SCDPT1'!SCDPT1_45ENDIN_23</vt:lpstr>
      <vt:lpstr>'GMIC_2020-Annu_SCDPT1'!SCDPT1_45ENDIN_24</vt:lpstr>
      <vt:lpstr>'GMIC_2020-Annu_SCDPT1'!SCDPT1_45ENDIN_25</vt:lpstr>
      <vt:lpstr>'GMIC_2020-Annu_SCDPT1'!SCDPT1_45ENDIN_26</vt:lpstr>
      <vt:lpstr>'GMIC_2020-Annu_SCDPT1'!SCDPT1_45ENDIN_27</vt:lpstr>
      <vt:lpstr>'GMIC_2020-Annu_SCDPT1'!SCDPT1_45ENDIN_28</vt:lpstr>
      <vt:lpstr>'GMIC_2020-Annu_SCDPT1'!SCDPT1_45ENDIN_29</vt:lpstr>
      <vt:lpstr>'GMIC_2020-Annu_SCDPT1'!SCDPT1_45ENDIN_3</vt:lpstr>
      <vt:lpstr>'GMIC_2020-Annu_SCDPT1'!SCDPT1_45ENDIN_30</vt:lpstr>
      <vt:lpstr>'GMIC_2020-Annu_SCDPT1'!SCDPT1_45ENDIN_31</vt:lpstr>
      <vt:lpstr>'GMIC_2020-Annu_SCDPT1'!SCDPT1_45ENDIN_32</vt:lpstr>
      <vt:lpstr>'GMIC_2020-Annu_SCDPT1'!SCDPT1_45ENDIN_33</vt:lpstr>
      <vt:lpstr>'GMIC_2020-Annu_SCDPT1'!SCDPT1_45ENDIN_34</vt:lpstr>
      <vt:lpstr>'GMIC_2020-Annu_SCDPT1'!SCDPT1_45ENDIN_35</vt:lpstr>
      <vt:lpstr>'GMIC_2020-Annu_SCDPT1'!SCDPT1_45ENDIN_4</vt:lpstr>
      <vt:lpstr>'GMIC_2020-Annu_SCDPT1'!SCDPT1_45ENDIN_5</vt:lpstr>
      <vt:lpstr>'GMIC_2020-Annu_SCDPT1'!SCDPT1_45ENDIN_6.01</vt:lpstr>
      <vt:lpstr>'GMIC_2020-Annu_SCDPT1'!SCDPT1_45ENDIN_6.02</vt:lpstr>
      <vt:lpstr>'GMIC_2020-Annu_SCDPT1'!SCDPT1_45ENDIN_6.03</vt:lpstr>
      <vt:lpstr>'GMIC_2020-Annu_SCDPT1'!SCDPT1_45ENDIN_7</vt:lpstr>
      <vt:lpstr>'GMIC_2020-Annu_SCDPT1'!SCDPT1_45ENDIN_8</vt:lpstr>
      <vt:lpstr>'GMIC_2020-Annu_SCDPT1'!SCDPT1_45ENDIN_9</vt:lpstr>
      <vt:lpstr>'GMIC_2020-Annu_SCDPT1'!SCDPT1_4899999_10</vt:lpstr>
      <vt:lpstr>'GMIC_2020-Annu_SCDPT1'!SCDPT1_4899999_11</vt:lpstr>
      <vt:lpstr>'GMIC_2020-Annu_SCDPT1'!SCDPT1_4899999_12</vt:lpstr>
      <vt:lpstr>'GMIC_2020-Annu_SCDPT1'!SCDPT1_4899999_13</vt:lpstr>
      <vt:lpstr>'GMIC_2020-Annu_SCDPT1'!SCDPT1_4899999_14</vt:lpstr>
      <vt:lpstr>'GMIC_2020-Annu_SCDPT1'!SCDPT1_4899999_15</vt:lpstr>
      <vt:lpstr>'GMIC_2020-Annu_SCDPT1'!SCDPT1_4899999_19</vt:lpstr>
      <vt:lpstr>'GMIC_2020-Annu_SCDPT1'!SCDPT1_4899999_20</vt:lpstr>
      <vt:lpstr>'GMIC_2020-Annu_SCDPT1'!SCDPT1_4899999_7</vt:lpstr>
      <vt:lpstr>'GMIC_2020-Annu_SCDPT1'!SCDPT1_4899999_9</vt:lpstr>
      <vt:lpstr>'GMIC_2020-Annu_SCDPT1'!SCDPT1_4900000_Range</vt:lpstr>
      <vt:lpstr>'GMIC_2020-Annu_SCDPT1'!SCDPT1_4999999_10</vt:lpstr>
      <vt:lpstr>'GMIC_2020-Annu_SCDPT1'!SCDPT1_4999999_11</vt:lpstr>
      <vt:lpstr>'GMIC_2020-Annu_SCDPT1'!SCDPT1_4999999_12</vt:lpstr>
      <vt:lpstr>'GMIC_2020-Annu_SCDPT1'!SCDPT1_4999999_13</vt:lpstr>
      <vt:lpstr>'GMIC_2020-Annu_SCDPT1'!SCDPT1_4999999_14</vt:lpstr>
      <vt:lpstr>'GMIC_2020-Annu_SCDPT1'!SCDPT1_4999999_15</vt:lpstr>
      <vt:lpstr>'GMIC_2020-Annu_SCDPT1'!SCDPT1_4999999_19</vt:lpstr>
      <vt:lpstr>'GMIC_2020-Annu_SCDPT1'!SCDPT1_4999999_20</vt:lpstr>
      <vt:lpstr>'GMIC_2020-Annu_SCDPT1'!SCDPT1_4999999_7</vt:lpstr>
      <vt:lpstr>'GMIC_2020-Annu_SCDPT1'!SCDPT1_4999999_9</vt:lpstr>
      <vt:lpstr>'GMIC_2020-Annu_SCDPT1'!SCDPT1_49BEGIN_1</vt:lpstr>
      <vt:lpstr>'GMIC_2020-Annu_SCDPT1'!SCDPT1_49BEGIN_10</vt:lpstr>
      <vt:lpstr>'GMIC_2020-Annu_SCDPT1'!SCDPT1_49BEGIN_11</vt:lpstr>
      <vt:lpstr>'GMIC_2020-Annu_SCDPT1'!SCDPT1_49BEGIN_12</vt:lpstr>
      <vt:lpstr>'GMIC_2020-Annu_SCDPT1'!SCDPT1_49BEGIN_13</vt:lpstr>
      <vt:lpstr>'GMIC_2020-Annu_SCDPT1'!SCDPT1_49BEGIN_14</vt:lpstr>
      <vt:lpstr>'GMIC_2020-Annu_SCDPT1'!SCDPT1_49BEGIN_15</vt:lpstr>
      <vt:lpstr>'GMIC_2020-Annu_SCDPT1'!SCDPT1_49BEGIN_16</vt:lpstr>
      <vt:lpstr>'GMIC_2020-Annu_SCDPT1'!SCDPT1_49BEGIN_17</vt:lpstr>
      <vt:lpstr>'GMIC_2020-Annu_SCDPT1'!SCDPT1_49BEGIN_18</vt:lpstr>
      <vt:lpstr>'GMIC_2020-Annu_SCDPT1'!SCDPT1_49BEGIN_19</vt:lpstr>
      <vt:lpstr>'GMIC_2020-Annu_SCDPT1'!SCDPT1_49BEGIN_2</vt:lpstr>
      <vt:lpstr>'GMIC_2020-Annu_SCDPT1'!SCDPT1_49BEGIN_20</vt:lpstr>
      <vt:lpstr>'GMIC_2020-Annu_SCDPT1'!SCDPT1_49BEGIN_21</vt:lpstr>
      <vt:lpstr>'GMIC_2020-Annu_SCDPT1'!SCDPT1_49BEGIN_22</vt:lpstr>
      <vt:lpstr>'GMIC_2020-Annu_SCDPT1'!SCDPT1_49BEGIN_23</vt:lpstr>
      <vt:lpstr>'GMIC_2020-Annu_SCDPT1'!SCDPT1_49BEGIN_24</vt:lpstr>
      <vt:lpstr>'GMIC_2020-Annu_SCDPT1'!SCDPT1_49BEGIN_25</vt:lpstr>
      <vt:lpstr>'GMIC_2020-Annu_SCDPT1'!SCDPT1_49BEGIN_26</vt:lpstr>
      <vt:lpstr>'GMIC_2020-Annu_SCDPT1'!SCDPT1_49BEGIN_27</vt:lpstr>
      <vt:lpstr>'GMIC_2020-Annu_SCDPT1'!SCDPT1_49BEGIN_28</vt:lpstr>
      <vt:lpstr>'GMIC_2020-Annu_SCDPT1'!SCDPT1_49BEGIN_29</vt:lpstr>
      <vt:lpstr>'GMIC_2020-Annu_SCDPT1'!SCDPT1_49BEGIN_3</vt:lpstr>
      <vt:lpstr>'GMIC_2020-Annu_SCDPT1'!SCDPT1_49BEGIN_30</vt:lpstr>
      <vt:lpstr>'GMIC_2020-Annu_SCDPT1'!SCDPT1_49BEGIN_31</vt:lpstr>
      <vt:lpstr>'GMIC_2020-Annu_SCDPT1'!SCDPT1_49BEGIN_32</vt:lpstr>
      <vt:lpstr>'GMIC_2020-Annu_SCDPT1'!SCDPT1_49BEGIN_33</vt:lpstr>
      <vt:lpstr>'GMIC_2020-Annu_SCDPT1'!SCDPT1_49BEGIN_34</vt:lpstr>
      <vt:lpstr>'GMIC_2020-Annu_SCDPT1'!SCDPT1_49BEGIN_35</vt:lpstr>
      <vt:lpstr>'GMIC_2020-Annu_SCDPT1'!SCDPT1_49BEGIN_4</vt:lpstr>
      <vt:lpstr>'GMIC_2020-Annu_SCDPT1'!SCDPT1_49BEGIN_5</vt:lpstr>
      <vt:lpstr>'GMIC_2020-Annu_SCDPT1'!SCDPT1_49BEGIN_6.01</vt:lpstr>
      <vt:lpstr>'GMIC_2020-Annu_SCDPT1'!SCDPT1_49BEGIN_6.02</vt:lpstr>
      <vt:lpstr>'GMIC_2020-Annu_SCDPT1'!SCDPT1_49BEGIN_6.03</vt:lpstr>
      <vt:lpstr>'GMIC_2020-Annu_SCDPT1'!SCDPT1_49BEGIN_7</vt:lpstr>
      <vt:lpstr>'GMIC_2020-Annu_SCDPT1'!SCDPT1_49BEGIN_8</vt:lpstr>
      <vt:lpstr>'GMIC_2020-Annu_SCDPT1'!SCDPT1_49BEGIN_9</vt:lpstr>
      <vt:lpstr>'GMIC_2020-Annu_SCDPT1'!SCDPT1_49ENDIN_10</vt:lpstr>
      <vt:lpstr>'GMIC_2020-Annu_SCDPT1'!SCDPT1_49ENDIN_11</vt:lpstr>
      <vt:lpstr>'GMIC_2020-Annu_SCDPT1'!SCDPT1_49ENDIN_12</vt:lpstr>
      <vt:lpstr>'GMIC_2020-Annu_SCDPT1'!SCDPT1_49ENDIN_13</vt:lpstr>
      <vt:lpstr>'GMIC_2020-Annu_SCDPT1'!SCDPT1_49ENDIN_14</vt:lpstr>
      <vt:lpstr>'GMIC_2020-Annu_SCDPT1'!SCDPT1_49ENDIN_15</vt:lpstr>
      <vt:lpstr>'GMIC_2020-Annu_SCDPT1'!SCDPT1_49ENDIN_16</vt:lpstr>
      <vt:lpstr>'GMIC_2020-Annu_SCDPT1'!SCDPT1_49ENDIN_17</vt:lpstr>
      <vt:lpstr>'GMIC_2020-Annu_SCDPT1'!SCDPT1_49ENDIN_18</vt:lpstr>
      <vt:lpstr>'GMIC_2020-Annu_SCDPT1'!SCDPT1_49ENDIN_19</vt:lpstr>
      <vt:lpstr>'GMIC_2020-Annu_SCDPT1'!SCDPT1_49ENDIN_2</vt:lpstr>
      <vt:lpstr>'GMIC_2020-Annu_SCDPT1'!SCDPT1_49ENDIN_20</vt:lpstr>
      <vt:lpstr>'GMIC_2020-Annu_SCDPT1'!SCDPT1_49ENDIN_21</vt:lpstr>
      <vt:lpstr>'GMIC_2020-Annu_SCDPT1'!SCDPT1_49ENDIN_22</vt:lpstr>
      <vt:lpstr>'GMIC_2020-Annu_SCDPT1'!SCDPT1_49ENDIN_23</vt:lpstr>
      <vt:lpstr>'GMIC_2020-Annu_SCDPT1'!SCDPT1_49ENDIN_24</vt:lpstr>
      <vt:lpstr>'GMIC_2020-Annu_SCDPT1'!SCDPT1_49ENDIN_25</vt:lpstr>
      <vt:lpstr>'GMIC_2020-Annu_SCDPT1'!SCDPT1_49ENDIN_26</vt:lpstr>
      <vt:lpstr>'GMIC_2020-Annu_SCDPT1'!SCDPT1_49ENDIN_27</vt:lpstr>
      <vt:lpstr>'GMIC_2020-Annu_SCDPT1'!SCDPT1_49ENDIN_28</vt:lpstr>
      <vt:lpstr>'GMIC_2020-Annu_SCDPT1'!SCDPT1_49ENDIN_29</vt:lpstr>
      <vt:lpstr>'GMIC_2020-Annu_SCDPT1'!SCDPT1_49ENDIN_3</vt:lpstr>
      <vt:lpstr>'GMIC_2020-Annu_SCDPT1'!SCDPT1_49ENDIN_30</vt:lpstr>
      <vt:lpstr>'GMIC_2020-Annu_SCDPT1'!SCDPT1_49ENDIN_31</vt:lpstr>
      <vt:lpstr>'GMIC_2020-Annu_SCDPT1'!SCDPT1_49ENDIN_32</vt:lpstr>
      <vt:lpstr>'GMIC_2020-Annu_SCDPT1'!SCDPT1_49ENDIN_33</vt:lpstr>
      <vt:lpstr>'GMIC_2020-Annu_SCDPT1'!SCDPT1_49ENDIN_34</vt:lpstr>
      <vt:lpstr>'GMIC_2020-Annu_SCDPT1'!SCDPT1_49ENDIN_35</vt:lpstr>
      <vt:lpstr>'GMIC_2020-Annu_SCDPT1'!SCDPT1_49ENDIN_4</vt:lpstr>
      <vt:lpstr>'GMIC_2020-Annu_SCDPT1'!SCDPT1_49ENDIN_5</vt:lpstr>
      <vt:lpstr>'GMIC_2020-Annu_SCDPT1'!SCDPT1_49ENDIN_6.01</vt:lpstr>
      <vt:lpstr>'GMIC_2020-Annu_SCDPT1'!SCDPT1_49ENDIN_6.02</vt:lpstr>
      <vt:lpstr>'GMIC_2020-Annu_SCDPT1'!SCDPT1_49ENDIN_6.03</vt:lpstr>
      <vt:lpstr>'GMIC_2020-Annu_SCDPT1'!SCDPT1_49ENDIN_7</vt:lpstr>
      <vt:lpstr>'GMIC_2020-Annu_SCDPT1'!SCDPT1_49ENDIN_8</vt:lpstr>
      <vt:lpstr>'GMIC_2020-Annu_SCDPT1'!SCDPT1_49ENDIN_9</vt:lpstr>
      <vt:lpstr>'GMIC_2020-Annu_SCDPT1'!SCDPT1_5000000_Range</vt:lpstr>
      <vt:lpstr>'GMIC_2020-Annu_SCDPT1'!SCDPT1_5099999_10</vt:lpstr>
      <vt:lpstr>'GMIC_2020-Annu_SCDPT1'!SCDPT1_5099999_11</vt:lpstr>
      <vt:lpstr>'GMIC_2020-Annu_SCDPT1'!SCDPT1_5099999_12</vt:lpstr>
      <vt:lpstr>'GMIC_2020-Annu_SCDPT1'!SCDPT1_5099999_13</vt:lpstr>
      <vt:lpstr>'GMIC_2020-Annu_SCDPT1'!SCDPT1_5099999_14</vt:lpstr>
      <vt:lpstr>'GMIC_2020-Annu_SCDPT1'!SCDPT1_5099999_15</vt:lpstr>
      <vt:lpstr>'GMIC_2020-Annu_SCDPT1'!SCDPT1_5099999_19</vt:lpstr>
      <vt:lpstr>'GMIC_2020-Annu_SCDPT1'!SCDPT1_5099999_20</vt:lpstr>
      <vt:lpstr>'GMIC_2020-Annu_SCDPT1'!SCDPT1_5099999_7</vt:lpstr>
      <vt:lpstr>'GMIC_2020-Annu_SCDPT1'!SCDPT1_5099999_9</vt:lpstr>
      <vt:lpstr>'GMIC_2020-Annu_SCDPT1'!SCDPT1_50BEGIN_1</vt:lpstr>
      <vt:lpstr>'GMIC_2020-Annu_SCDPT1'!SCDPT1_50BEGIN_10</vt:lpstr>
      <vt:lpstr>'GMIC_2020-Annu_SCDPT1'!SCDPT1_50BEGIN_11</vt:lpstr>
      <vt:lpstr>'GMIC_2020-Annu_SCDPT1'!SCDPT1_50BEGIN_12</vt:lpstr>
      <vt:lpstr>'GMIC_2020-Annu_SCDPT1'!SCDPT1_50BEGIN_13</vt:lpstr>
      <vt:lpstr>'GMIC_2020-Annu_SCDPT1'!SCDPT1_50BEGIN_14</vt:lpstr>
      <vt:lpstr>'GMIC_2020-Annu_SCDPT1'!SCDPT1_50BEGIN_15</vt:lpstr>
      <vt:lpstr>'GMIC_2020-Annu_SCDPT1'!SCDPT1_50BEGIN_16</vt:lpstr>
      <vt:lpstr>'GMIC_2020-Annu_SCDPT1'!SCDPT1_50BEGIN_17</vt:lpstr>
      <vt:lpstr>'GMIC_2020-Annu_SCDPT1'!SCDPT1_50BEGIN_18</vt:lpstr>
      <vt:lpstr>'GMIC_2020-Annu_SCDPT1'!SCDPT1_50BEGIN_19</vt:lpstr>
      <vt:lpstr>'GMIC_2020-Annu_SCDPT1'!SCDPT1_50BEGIN_2</vt:lpstr>
      <vt:lpstr>'GMIC_2020-Annu_SCDPT1'!SCDPT1_50BEGIN_20</vt:lpstr>
      <vt:lpstr>'GMIC_2020-Annu_SCDPT1'!SCDPT1_50BEGIN_21</vt:lpstr>
      <vt:lpstr>'GMIC_2020-Annu_SCDPT1'!SCDPT1_50BEGIN_22</vt:lpstr>
      <vt:lpstr>'GMIC_2020-Annu_SCDPT1'!SCDPT1_50BEGIN_23</vt:lpstr>
      <vt:lpstr>'GMIC_2020-Annu_SCDPT1'!SCDPT1_50BEGIN_24</vt:lpstr>
      <vt:lpstr>'GMIC_2020-Annu_SCDPT1'!SCDPT1_50BEGIN_25</vt:lpstr>
      <vt:lpstr>'GMIC_2020-Annu_SCDPT1'!SCDPT1_50BEGIN_26</vt:lpstr>
      <vt:lpstr>'GMIC_2020-Annu_SCDPT1'!SCDPT1_50BEGIN_27</vt:lpstr>
      <vt:lpstr>'GMIC_2020-Annu_SCDPT1'!SCDPT1_50BEGIN_28</vt:lpstr>
      <vt:lpstr>'GMIC_2020-Annu_SCDPT1'!SCDPT1_50BEGIN_29</vt:lpstr>
      <vt:lpstr>'GMIC_2020-Annu_SCDPT1'!SCDPT1_50BEGIN_3</vt:lpstr>
      <vt:lpstr>'GMIC_2020-Annu_SCDPT1'!SCDPT1_50BEGIN_30</vt:lpstr>
      <vt:lpstr>'GMIC_2020-Annu_SCDPT1'!SCDPT1_50BEGIN_31</vt:lpstr>
      <vt:lpstr>'GMIC_2020-Annu_SCDPT1'!SCDPT1_50BEGIN_32</vt:lpstr>
      <vt:lpstr>'GMIC_2020-Annu_SCDPT1'!SCDPT1_50BEGIN_33</vt:lpstr>
      <vt:lpstr>'GMIC_2020-Annu_SCDPT1'!SCDPT1_50BEGIN_34</vt:lpstr>
      <vt:lpstr>'GMIC_2020-Annu_SCDPT1'!SCDPT1_50BEGIN_35</vt:lpstr>
      <vt:lpstr>'GMIC_2020-Annu_SCDPT1'!SCDPT1_50BEGIN_4</vt:lpstr>
      <vt:lpstr>'GMIC_2020-Annu_SCDPT1'!SCDPT1_50BEGIN_5</vt:lpstr>
      <vt:lpstr>'GMIC_2020-Annu_SCDPT1'!SCDPT1_50BEGIN_6.01</vt:lpstr>
      <vt:lpstr>'GMIC_2020-Annu_SCDPT1'!SCDPT1_50BEGIN_6.02</vt:lpstr>
      <vt:lpstr>'GMIC_2020-Annu_SCDPT1'!SCDPT1_50BEGIN_6.03</vt:lpstr>
      <vt:lpstr>'GMIC_2020-Annu_SCDPT1'!SCDPT1_50BEGIN_7</vt:lpstr>
      <vt:lpstr>'GMIC_2020-Annu_SCDPT1'!SCDPT1_50BEGIN_8</vt:lpstr>
      <vt:lpstr>'GMIC_2020-Annu_SCDPT1'!SCDPT1_50BEGIN_9</vt:lpstr>
      <vt:lpstr>'GMIC_2020-Annu_SCDPT1'!SCDPT1_50ENDIN_10</vt:lpstr>
      <vt:lpstr>'GMIC_2020-Annu_SCDPT1'!SCDPT1_50ENDIN_11</vt:lpstr>
      <vt:lpstr>'GMIC_2020-Annu_SCDPT1'!SCDPT1_50ENDIN_12</vt:lpstr>
      <vt:lpstr>'GMIC_2020-Annu_SCDPT1'!SCDPT1_50ENDIN_13</vt:lpstr>
      <vt:lpstr>'GMIC_2020-Annu_SCDPT1'!SCDPT1_50ENDIN_14</vt:lpstr>
      <vt:lpstr>'GMIC_2020-Annu_SCDPT1'!SCDPT1_50ENDIN_15</vt:lpstr>
      <vt:lpstr>'GMIC_2020-Annu_SCDPT1'!SCDPT1_50ENDIN_16</vt:lpstr>
      <vt:lpstr>'GMIC_2020-Annu_SCDPT1'!SCDPT1_50ENDIN_17</vt:lpstr>
      <vt:lpstr>'GMIC_2020-Annu_SCDPT1'!SCDPT1_50ENDIN_18</vt:lpstr>
      <vt:lpstr>'GMIC_2020-Annu_SCDPT1'!SCDPT1_50ENDIN_19</vt:lpstr>
      <vt:lpstr>'GMIC_2020-Annu_SCDPT1'!SCDPT1_50ENDIN_2</vt:lpstr>
      <vt:lpstr>'GMIC_2020-Annu_SCDPT1'!SCDPT1_50ENDIN_20</vt:lpstr>
      <vt:lpstr>'GMIC_2020-Annu_SCDPT1'!SCDPT1_50ENDIN_21</vt:lpstr>
      <vt:lpstr>'GMIC_2020-Annu_SCDPT1'!SCDPT1_50ENDIN_22</vt:lpstr>
      <vt:lpstr>'GMIC_2020-Annu_SCDPT1'!SCDPT1_50ENDIN_23</vt:lpstr>
      <vt:lpstr>'GMIC_2020-Annu_SCDPT1'!SCDPT1_50ENDIN_24</vt:lpstr>
      <vt:lpstr>'GMIC_2020-Annu_SCDPT1'!SCDPT1_50ENDIN_25</vt:lpstr>
      <vt:lpstr>'GMIC_2020-Annu_SCDPT1'!SCDPT1_50ENDIN_26</vt:lpstr>
      <vt:lpstr>'GMIC_2020-Annu_SCDPT1'!SCDPT1_50ENDIN_27</vt:lpstr>
      <vt:lpstr>'GMIC_2020-Annu_SCDPT1'!SCDPT1_50ENDIN_28</vt:lpstr>
      <vt:lpstr>'GMIC_2020-Annu_SCDPT1'!SCDPT1_50ENDIN_29</vt:lpstr>
      <vt:lpstr>'GMIC_2020-Annu_SCDPT1'!SCDPT1_50ENDIN_3</vt:lpstr>
      <vt:lpstr>'GMIC_2020-Annu_SCDPT1'!SCDPT1_50ENDIN_30</vt:lpstr>
      <vt:lpstr>'GMIC_2020-Annu_SCDPT1'!SCDPT1_50ENDIN_31</vt:lpstr>
      <vt:lpstr>'GMIC_2020-Annu_SCDPT1'!SCDPT1_50ENDIN_32</vt:lpstr>
      <vt:lpstr>'GMIC_2020-Annu_SCDPT1'!SCDPT1_50ENDIN_33</vt:lpstr>
      <vt:lpstr>'GMIC_2020-Annu_SCDPT1'!SCDPT1_50ENDIN_34</vt:lpstr>
      <vt:lpstr>'GMIC_2020-Annu_SCDPT1'!SCDPT1_50ENDIN_35</vt:lpstr>
      <vt:lpstr>'GMIC_2020-Annu_SCDPT1'!SCDPT1_50ENDIN_4</vt:lpstr>
      <vt:lpstr>'GMIC_2020-Annu_SCDPT1'!SCDPT1_50ENDIN_5</vt:lpstr>
      <vt:lpstr>'GMIC_2020-Annu_SCDPT1'!SCDPT1_50ENDIN_6.01</vt:lpstr>
      <vt:lpstr>'GMIC_2020-Annu_SCDPT1'!SCDPT1_50ENDIN_6.02</vt:lpstr>
      <vt:lpstr>'GMIC_2020-Annu_SCDPT1'!SCDPT1_50ENDIN_6.03</vt:lpstr>
      <vt:lpstr>'GMIC_2020-Annu_SCDPT1'!SCDPT1_50ENDIN_7</vt:lpstr>
      <vt:lpstr>'GMIC_2020-Annu_SCDPT1'!SCDPT1_50ENDIN_8</vt:lpstr>
      <vt:lpstr>'GMIC_2020-Annu_SCDPT1'!SCDPT1_50ENDIN_9</vt:lpstr>
      <vt:lpstr>'GMIC_2020-Annu_SCDPT1'!SCDPT1_5100000_Range</vt:lpstr>
      <vt:lpstr>'GMIC_2020-Annu_SCDPT1'!SCDPT1_5199999_10</vt:lpstr>
      <vt:lpstr>'GMIC_2020-Annu_SCDPT1'!SCDPT1_5199999_11</vt:lpstr>
      <vt:lpstr>'GMIC_2020-Annu_SCDPT1'!SCDPT1_5199999_12</vt:lpstr>
      <vt:lpstr>'GMIC_2020-Annu_SCDPT1'!SCDPT1_5199999_13</vt:lpstr>
      <vt:lpstr>'GMIC_2020-Annu_SCDPT1'!SCDPT1_5199999_14</vt:lpstr>
      <vt:lpstr>'GMIC_2020-Annu_SCDPT1'!SCDPT1_5199999_15</vt:lpstr>
      <vt:lpstr>'GMIC_2020-Annu_SCDPT1'!SCDPT1_5199999_19</vt:lpstr>
      <vt:lpstr>'GMIC_2020-Annu_SCDPT1'!SCDPT1_5199999_20</vt:lpstr>
      <vt:lpstr>'GMIC_2020-Annu_SCDPT1'!SCDPT1_5199999_7</vt:lpstr>
      <vt:lpstr>'GMIC_2020-Annu_SCDPT1'!SCDPT1_5199999_9</vt:lpstr>
      <vt:lpstr>'GMIC_2020-Annu_SCDPT1'!SCDPT1_51BEGIN_1</vt:lpstr>
      <vt:lpstr>'GMIC_2020-Annu_SCDPT1'!SCDPT1_51BEGIN_10</vt:lpstr>
      <vt:lpstr>'GMIC_2020-Annu_SCDPT1'!SCDPT1_51BEGIN_11</vt:lpstr>
      <vt:lpstr>'GMIC_2020-Annu_SCDPT1'!SCDPT1_51BEGIN_12</vt:lpstr>
      <vt:lpstr>'GMIC_2020-Annu_SCDPT1'!SCDPT1_51BEGIN_13</vt:lpstr>
      <vt:lpstr>'GMIC_2020-Annu_SCDPT1'!SCDPT1_51BEGIN_14</vt:lpstr>
      <vt:lpstr>'GMIC_2020-Annu_SCDPT1'!SCDPT1_51BEGIN_15</vt:lpstr>
      <vt:lpstr>'GMIC_2020-Annu_SCDPT1'!SCDPT1_51BEGIN_16</vt:lpstr>
      <vt:lpstr>'GMIC_2020-Annu_SCDPT1'!SCDPT1_51BEGIN_17</vt:lpstr>
      <vt:lpstr>'GMIC_2020-Annu_SCDPT1'!SCDPT1_51BEGIN_18</vt:lpstr>
      <vt:lpstr>'GMIC_2020-Annu_SCDPT1'!SCDPT1_51BEGIN_19</vt:lpstr>
      <vt:lpstr>'GMIC_2020-Annu_SCDPT1'!SCDPT1_51BEGIN_2</vt:lpstr>
      <vt:lpstr>'GMIC_2020-Annu_SCDPT1'!SCDPT1_51BEGIN_20</vt:lpstr>
      <vt:lpstr>'GMIC_2020-Annu_SCDPT1'!SCDPT1_51BEGIN_21</vt:lpstr>
      <vt:lpstr>'GMIC_2020-Annu_SCDPT1'!SCDPT1_51BEGIN_22</vt:lpstr>
      <vt:lpstr>'GMIC_2020-Annu_SCDPT1'!SCDPT1_51BEGIN_23</vt:lpstr>
      <vt:lpstr>'GMIC_2020-Annu_SCDPT1'!SCDPT1_51BEGIN_24</vt:lpstr>
      <vt:lpstr>'GMIC_2020-Annu_SCDPT1'!SCDPT1_51BEGIN_25</vt:lpstr>
      <vt:lpstr>'GMIC_2020-Annu_SCDPT1'!SCDPT1_51BEGIN_26</vt:lpstr>
      <vt:lpstr>'GMIC_2020-Annu_SCDPT1'!SCDPT1_51BEGIN_27</vt:lpstr>
      <vt:lpstr>'GMIC_2020-Annu_SCDPT1'!SCDPT1_51BEGIN_28</vt:lpstr>
      <vt:lpstr>'GMIC_2020-Annu_SCDPT1'!SCDPT1_51BEGIN_29</vt:lpstr>
      <vt:lpstr>'GMIC_2020-Annu_SCDPT1'!SCDPT1_51BEGIN_3</vt:lpstr>
      <vt:lpstr>'GMIC_2020-Annu_SCDPT1'!SCDPT1_51BEGIN_30</vt:lpstr>
      <vt:lpstr>'GMIC_2020-Annu_SCDPT1'!SCDPT1_51BEGIN_31</vt:lpstr>
      <vt:lpstr>'GMIC_2020-Annu_SCDPT1'!SCDPT1_51BEGIN_32</vt:lpstr>
      <vt:lpstr>'GMIC_2020-Annu_SCDPT1'!SCDPT1_51BEGIN_33</vt:lpstr>
      <vt:lpstr>'GMIC_2020-Annu_SCDPT1'!SCDPT1_51BEGIN_34</vt:lpstr>
      <vt:lpstr>'GMIC_2020-Annu_SCDPT1'!SCDPT1_51BEGIN_35</vt:lpstr>
      <vt:lpstr>'GMIC_2020-Annu_SCDPT1'!SCDPT1_51BEGIN_4</vt:lpstr>
      <vt:lpstr>'GMIC_2020-Annu_SCDPT1'!SCDPT1_51BEGIN_5</vt:lpstr>
      <vt:lpstr>'GMIC_2020-Annu_SCDPT1'!SCDPT1_51BEGIN_6.01</vt:lpstr>
      <vt:lpstr>'GMIC_2020-Annu_SCDPT1'!SCDPT1_51BEGIN_6.02</vt:lpstr>
      <vt:lpstr>'GMIC_2020-Annu_SCDPT1'!SCDPT1_51BEGIN_6.03</vt:lpstr>
      <vt:lpstr>'GMIC_2020-Annu_SCDPT1'!SCDPT1_51BEGIN_7</vt:lpstr>
      <vt:lpstr>'GMIC_2020-Annu_SCDPT1'!SCDPT1_51BEGIN_8</vt:lpstr>
      <vt:lpstr>'GMIC_2020-Annu_SCDPT1'!SCDPT1_51BEGIN_9</vt:lpstr>
      <vt:lpstr>'GMIC_2020-Annu_SCDPT1'!SCDPT1_51ENDIN_10</vt:lpstr>
      <vt:lpstr>'GMIC_2020-Annu_SCDPT1'!SCDPT1_51ENDIN_11</vt:lpstr>
      <vt:lpstr>'GMIC_2020-Annu_SCDPT1'!SCDPT1_51ENDIN_12</vt:lpstr>
      <vt:lpstr>'GMIC_2020-Annu_SCDPT1'!SCDPT1_51ENDIN_13</vt:lpstr>
      <vt:lpstr>'GMIC_2020-Annu_SCDPT1'!SCDPT1_51ENDIN_14</vt:lpstr>
      <vt:lpstr>'GMIC_2020-Annu_SCDPT1'!SCDPT1_51ENDIN_15</vt:lpstr>
      <vt:lpstr>'GMIC_2020-Annu_SCDPT1'!SCDPT1_51ENDIN_16</vt:lpstr>
      <vt:lpstr>'GMIC_2020-Annu_SCDPT1'!SCDPT1_51ENDIN_17</vt:lpstr>
      <vt:lpstr>'GMIC_2020-Annu_SCDPT1'!SCDPT1_51ENDIN_18</vt:lpstr>
      <vt:lpstr>'GMIC_2020-Annu_SCDPT1'!SCDPT1_51ENDIN_19</vt:lpstr>
      <vt:lpstr>'GMIC_2020-Annu_SCDPT1'!SCDPT1_51ENDIN_2</vt:lpstr>
      <vt:lpstr>'GMIC_2020-Annu_SCDPT1'!SCDPT1_51ENDIN_20</vt:lpstr>
      <vt:lpstr>'GMIC_2020-Annu_SCDPT1'!SCDPT1_51ENDIN_21</vt:lpstr>
      <vt:lpstr>'GMIC_2020-Annu_SCDPT1'!SCDPT1_51ENDIN_22</vt:lpstr>
      <vt:lpstr>'GMIC_2020-Annu_SCDPT1'!SCDPT1_51ENDIN_23</vt:lpstr>
      <vt:lpstr>'GMIC_2020-Annu_SCDPT1'!SCDPT1_51ENDIN_24</vt:lpstr>
      <vt:lpstr>'GMIC_2020-Annu_SCDPT1'!SCDPT1_51ENDIN_25</vt:lpstr>
      <vt:lpstr>'GMIC_2020-Annu_SCDPT1'!SCDPT1_51ENDIN_26</vt:lpstr>
      <vt:lpstr>'GMIC_2020-Annu_SCDPT1'!SCDPT1_51ENDIN_27</vt:lpstr>
      <vt:lpstr>'GMIC_2020-Annu_SCDPT1'!SCDPT1_51ENDIN_28</vt:lpstr>
      <vt:lpstr>'GMIC_2020-Annu_SCDPT1'!SCDPT1_51ENDIN_29</vt:lpstr>
      <vt:lpstr>'GMIC_2020-Annu_SCDPT1'!SCDPT1_51ENDIN_3</vt:lpstr>
      <vt:lpstr>'GMIC_2020-Annu_SCDPT1'!SCDPT1_51ENDIN_30</vt:lpstr>
      <vt:lpstr>'GMIC_2020-Annu_SCDPT1'!SCDPT1_51ENDIN_31</vt:lpstr>
      <vt:lpstr>'GMIC_2020-Annu_SCDPT1'!SCDPT1_51ENDIN_32</vt:lpstr>
      <vt:lpstr>'GMIC_2020-Annu_SCDPT1'!SCDPT1_51ENDIN_33</vt:lpstr>
      <vt:lpstr>'GMIC_2020-Annu_SCDPT1'!SCDPT1_51ENDIN_34</vt:lpstr>
      <vt:lpstr>'GMIC_2020-Annu_SCDPT1'!SCDPT1_51ENDIN_35</vt:lpstr>
      <vt:lpstr>'GMIC_2020-Annu_SCDPT1'!SCDPT1_51ENDIN_4</vt:lpstr>
      <vt:lpstr>'GMIC_2020-Annu_SCDPT1'!SCDPT1_51ENDIN_5</vt:lpstr>
      <vt:lpstr>'GMIC_2020-Annu_SCDPT1'!SCDPT1_51ENDIN_6.01</vt:lpstr>
      <vt:lpstr>'GMIC_2020-Annu_SCDPT1'!SCDPT1_51ENDIN_6.02</vt:lpstr>
      <vt:lpstr>'GMIC_2020-Annu_SCDPT1'!SCDPT1_51ENDIN_6.03</vt:lpstr>
      <vt:lpstr>'GMIC_2020-Annu_SCDPT1'!SCDPT1_51ENDIN_7</vt:lpstr>
      <vt:lpstr>'GMIC_2020-Annu_SCDPT1'!SCDPT1_51ENDIN_8</vt:lpstr>
      <vt:lpstr>'GMIC_2020-Annu_SCDPT1'!SCDPT1_51ENDIN_9</vt:lpstr>
      <vt:lpstr>'GMIC_2020-Annu_SCDPT1'!SCDPT1_5200000_Range</vt:lpstr>
      <vt:lpstr>'GMIC_2020-Annu_SCDPT1'!SCDPT1_5299999_10</vt:lpstr>
      <vt:lpstr>'GMIC_2020-Annu_SCDPT1'!SCDPT1_5299999_11</vt:lpstr>
      <vt:lpstr>'GMIC_2020-Annu_SCDPT1'!SCDPT1_5299999_12</vt:lpstr>
      <vt:lpstr>'GMIC_2020-Annu_SCDPT1'!SCDPT1_5299999_13</vt:lpstr>
      <vt:lpstr>'GMIC_2020-Annu_SCDPT1'!SCDPT1_5299999_14</vt:lpstr>
      <vt:lpstr>'GMIC_2020-Annu_SCDPT1'!SCDPT1_5299999_15</vt:lpstr>
      <vt:lpstr>'GMIC_2020-Annu_SCDPT1'!SCDPT1_5299999_19</vt:lpstr>
      <vt:lpstr>'GMIC_2020-Annu_SCDPT1'!SCDPT1_5299999_20</vt:lpstr>
      <vt:lpstr>'GMIC_2020-Annu_SCDPT1'!SCDPT1_5299999_7</vt:lpstr>
      <vt:lpstr>'GMIC_2020-Annu_SCDPT1'!SCDPT1_5299999_9</vt:lpstr>
      <vt:lpstr>'GMIC_2020-Annu_SCDPT1'!SCDPT1_52BEGIN_1</vt:lpstr>
      <vt:lpstr>'GMIC_2020-Annu_SCDPT1'!SCDPT1_52BEGIN_10</vt:lpstr>
      <vt:lpstr>'GMIC_2020-Annu_SCDPT1'!SCDPT1_52BEGIN_11</vt:lpstr>
      <vt:lpstr>'GMIC_2020-Annu_SCDPT1'!SCDPT1_52BEGIN_12</vt:lpstr>
      <vt:lpstr>'GMIC_2020-Annu_SCDPT1'!SCDPT1_52BEGIN_13</vt:lpstr>
      <vt:lpstr>'GMIC_2020-Annu_SCDPT1'!SCDPT1_52BEGIN_14</vt:lpstr>
      <vt:lpstr>'GMIC_2020-Annu_SCDPT1'!SCDPT1_52BEGIN_15</vt:lpstr>
      <vt:lpstr>'GMIC_2020-Annu_SCDPT1'!SCDPT1_52BEGIN_16</vt:lpstr>
      <vt:lpstr>'GMIC_2020-Annu_SCDPT1'!SCDPT1_52BEGIN_17</vt:lpstr>
      <vt:lpstr>'GMIC_2020-Annu_SCDPT1'!SCDPT1_52BEGIN_18</vt:lpstr>
      <vt:lpstr>'GMIC_2020-Annu_SCDPT1'!SCDPT1_52BEGIN_19</vt:lpstr>
      <vt:lpstr>'GMIC_2020-Annu_SCDPT1'!SCDPT1_52BEGIN_2</vt:lpstr>
      <vt:lpstr>'GMIC_2020-Annu_SCDPT1'!SCDPT1_52BEGIN_20</vt:lpstr>
      <vt:lpstr>'GMIC_2020-Annu_SCDPT1'!SCDPT1_52BEGIN_21</vt:lpstr>
      <vt:lpstr>'GMIC_2020-Annu_SCDPT1'!SCDPT1_52BEGIN_22</vt:lpstr>
      <vt:lpstr>'GMIC_2020-Annu_SCDPT1'!SCDPT1_52BEGIN_23</vt:lpstr>
      <vt:lpstr>'GMIC_2020-Annu_SCDPT1'!SCDPT1_52BEGIN_24</vt:lpstr>
      <vt:lpstr>'GMIC_2020-Annu_SCDPT1'!SCDPT1_52BEGIN_25</vt:lpstr>
      <vt:lpstr>'GMIC_2020-Annu_SCDPT1'!SCDPT1_52BEGIN_26</vt:lpstr>
      <vt:lpstr>'GMIC_2020-Annu_SCDPT1'!SCDPT1_52BEGIN_27</vt:lpstr>
      <vt:lpstr>'GMIC_2020-Annu_SCDPT1'!SCDPT1_52BEGIN_28</vt:lpstr>
      <vt:lpstr>'GMIC_2020-Annu_SCDPT1'!SCDPT1_52BEGIN_29</vt:lpstr>
      <vt:lpstr>'GMIC_2020-Annu_SCDPT1'!SCDPT1_52BEGIN_3</vt:lpstr>
      <vt:lpstr>'GMIC_2020-Annu_SCDPT1'!SCDPT1_52BEGIN_30</vt:lpstr>
      <vt:lpstr>'GMIC_2020-Annu_SCDPT1'!SCDPT1_52BEGIN_31</vt:lpstr>
      <vt:lpstr>'GMIC_2020-Annu_SCDPT1'!SCDPT1_52BEGIN_32</vt:lpstr>
      <vt:lpstr>'GMIC_2020-Annu_SCDPT1'!SCDPT1_52BEGIN_33</vt:lpstr>
      <vt:lpstr>'GMIC_2020-Annu_SCDPT1'!SCDPT1_52BEGIN_34</vt:lpstr>
      <vt:lpstr>'GMIC_2020-Annu_SCDPT1'!SCDPT1_52BEGIN_35</vt:lpstr>
      <vt:lpstr>'GMIC_2020-Annu_SCDPT1'!SCDPT1_52BEGIN_4</vt:lpstr>
      <vt:lpstr>'GMIC_2020-Annu_SCDPT1'!SCDPT1_52BEGIN_5</vt:lpstr>
      <vt:lpstr>'GMIC_2020-Annu_SCDPT1'!SCDPT1_52BEGIN_6.01</vt:lpstr>
      <vt:lpstr>'GMIC_2020-Annu_SCDPT1'!SCDPT1_52BEGIN_6.02</vt:lpstr>
      <vt:lpstr>'GMIC_2020-Annu_SCDPT1'!SCDPT1_52BEGIN_6.03</vt:lpstr>
      <vt:lpstr>'GMIC_2020-Annu_SCDPT1'!SCDPT1_52BEGIN_7</vt:lpstr>
      <vt:lpstr>'GMIC_2020-Annu_SCDPT1'!SCDPT1_52BEGIN_8</vt:lpstr>
      <vt:lpstr>'GMIC_2020-Annu_SCDPT1'!SCDPT1_52BEGIN_9</vt:lpstr>
      <vt:lpstr>'GMIC_2020-Annu_SCDPT1'!SCDPT1_52ENDIN_10</vt:lpstr>
      <vt:lpstr>'GMIC_2020-Annu_SCDPT1'!SCDPT1_52ENDIN_11</vt:lpstr>
      <vt:lpstr>'GMIC_2020-Annu_SCDPT1'!SCDPT1_52ENDIN_12</vt:lpstr>
      <vt:lpstr>'GMIC_2020-Annu_SCDPT1'!SCDPT1_52ENDIN_13</vt:lpstr>
      <vt:lpstr>'GMIC_2020-Annu_SCDPT1'!SCDPT1_52ENDIN_14</vt:lpstr>
      <vt:lpstr>'GMIC_2020-Annu_SCDPT1'!SCDPT1_52ENDIN_15</vt:lpstr>
      <vt:lpstr>'GMIC_2020-Annu_SCDPT1'!SCDPT1_52ENDIN_16</vt:lpstr>
      <vt:lpstr>'GMIC_2020-Annu_SCDPT1'!SCDPT1_52ENDIN_17</vt:lpstr>
      <vt:lpstr>'GMIC_2020-Annu_SCDPT1'!SCDPT1_52ENDIN_18</vt:lpstr>
      <vt:lpstr>'GMIC_2020-Annu_SCDPT1'!SCDPT1_52ENDIN_19</vt:lpstr>
      <vt:lpstr>'GMIC_2020-Annu_SCDPT1'!SCDPT1_52ENDIN_2</vt:lpstr>
      <vt:lpstr>'GMIC_2020-Annu_SCDPT1'!SCDPT1_52ENDIN_20</vt:lpstr>
      <vt:lpstr>'GMIC_2020-Annu_SCDPT1'!SCDPT1_52ENDIN_21</vt:lpstr>
      <vt:lpstr>'GMIC_2020-Annu_SCDPT1'!SCDPT1_52ENDIN_22</vt:lpstr>
      <vt:lpstr>'GMIC_2020-Annu_SCDPT1'!SCDPT1_52ENDIN_23</vt:lpstr>
      <vt:lpstr>'GMIC_2020-Annu_SCDPT1'!SCDPT1_52ENDIN_24</vt:lpstr>
      <vt:lpstr>'GMIC_2020-Annu_SCDPT1'!SCDPT1_52ENDIN_25</vt:lpstr>
      <vt:lpstr>'GMIC_2020-Annu_SCDPT1'!SCDPT1_52ENDIN_26</vt:lpstr>
      <vt:lpstr>'GMIC_2020-Annu_SCDPT1'!SCDPT1_52ENDIN_27</vt:lpstr>
      <vt:lpstr>'GMIC_2020-Annu_SCDPT1'!SCDPT1_52ENDIN_28</vt:lpstr>
      <vt:lpstr>'GMIC_2020-Annu_SCDPT1'!SCDPT1_52ENDIN_29</vt:lpstr>
      <vt:lpstr>'GMIC_2020-Annu_SCDPT1'!SCDPT1_52ENDIN_3</vt:lpstr>
      <vt:lpstr>'GMIC_2020-Annu_SCDPT1'!SCDPT1_52ENDIN_30</vt:lpstr>
      <vt:lpstr>'GMIC_2020-Annu_SCDPT1'!SCDPT1_52ENDIN_31</vt:lpstr>
      <vt:lpstr>'GMIC_2020-Annu_SCDPT1'!SCDPT1_52ENDIN_32</vt:lpstr>
      <vt:lpstr>'GMIC_2020-Annu_SCDPT1'!SCDPT1_52ENDIN_33</vt:lpstr>
      <vt:lpstr>'GMIC_2020-Annu_SCDPT1'!SCDPT1_52ENDIN_34</vt:lpstr>
      <vt:lpstr>'GMIC_2020-Annu_SCDPT1'!SCDPT1_52ENDIN_35</vt:lpstr>
      <vt:lpstr>'GMIC_2020-Annu_SCDPT1'!SCDPT1_52ENDIN_4</vt:lpstr>
      <vt:lpstr>'GMIC_2020-Annu_SCDPT1'!SCDPT1_52ENDIN_5</vt:lpstr>
      <vt:lpstr>'GMIC_2020-Annu_SCDPT1'!SCDPT1_52ENDIN_6.01</vt:lpstr>
      <vt:lpstr>'GMIC_2020-Annu_SCDPT1'!SCDPT1_52ENDIN_6.02</vt:lpstr>
      <vt:lpstr>'GMIC_2020-Annu_SCDPT1'!SCDPT1_52ENDIN_6.03</vt:lpstr>
      <vt:lpstr>'GMIC_2020-Annu_SCDPT1'!SCDPT1_52ENDIN_7</vt:lpstr>
      <vt:lpstr>'GMIC_2020-Annu_SCDPT1'!SCDPT1_52ENDIN_8</vt:lpstr>
      <vt:lpstr>'GMIC_2020-Annu_SCDPT1'!SCDPT1_52ENDIN_9</vt:lpstr>
      <vt:lpstr>'GMIC_2020-Annu_SCDPT1'!SCDPT1_5300000_Range</vt:lpstr>
      <vt:lpstr>'GMIC_2020-Annu_SCDPT1'!SCDPT1_5399999_10</vt:lpstr>
      <vt:lpstr>'GMIC_2020-Annu_SCDPT1'!SCDPT1_5399999_11</vt:lpstr>
      <vt:lpstr>'GMIC_2020-Annu_SCDPT1'!SCDPT1_5399999_12</vt:lpstr>
      <vt:lpstr>'GMIC_2020-Annu_SCDPT1'!SCDPT1_5399999_13</vt:lpstr>
      <vt:lpstr>'GMIC_2020-Annu_SCDPT1'!SCDPT1_5399999_14</vt:lpstr>
      <vt:lpstr>'GMIC_2020-Annu_SCDPT1'!SCDPT1_5399999_15</vt:lpstr>
      <vt:lpstr>'GMIC_2020-Annu_SCDPT1'!SCDPT1_5399999_19</vt:lpstr>
      <vt:lpstr>'GMIC_2020-Annu_SCDPT1'!SCDPT1_5399999_20</vt:lpstr>
      <vt:lpstr>'GMIC_2020-Annu_SCDPT1'!SCDPT1_5399999_7</vt:lpstr>
      <vt:lpstr>'GMIC_2020-Annu_SCDPT1'!SCDPT1_5399999_9</vt:lpstr>
      <vt:lpstr>'GMIC_2020-Annu_SCDPT1'!SCDPT1_53BEGIN_1</vt:lpstr>
      <vt:lpstr>'GMIC_2020-Annu_SCDPT1'!SCDPT1_53BEGIN_10</vt:lpstr>
      <vt:lpstr>'GMIC_2020-Annu_SCDPT1'!SCDPT1_53BEGIN_11</vt:lpstr>
      <vt:lpstr>'GMIC_2020-Annu_SCDPT1'!SCDPT1_53BEGIN_12</vt:lpstr>
      <vt:lpstr>'GMIC_2020-Annu_SCDPT1'!SCDPT1_53BEGIN_13</vt:lpstr>
      <vt:lpstr>'GMIC_2020-Annu_SCDPT1'!SCDPT1_53BEGIN_14</vt:lpstr>
      <vt:lpstr>'GMIC_2020-Annu_SCDPT1'!SCDPT1_53BEGIN_15</vt:lpstr>
      <vt:lpstr>'GMIC_2020-Annu_SCDPT1'!SCDPT1_53BEGIN_16</vt:lpstr>
      <vt:lpstr>'GMIC_2020-Annu_SCDPT1'!SCDPT1_53BEGIN_17</vt:lpstr>
      <vt:lpstr>'GMIC_2020-Annu_SCDPT1'!SCDPT1_53BEGIN_18</vt:lpstr>
      <vt:lpstr>'GMIC_2020-Annu_SCDPT1'!SCDPT1_53BEGIN_19</vt:lpstr>
      <vt:lpstr>'GMIC_2020-Annu_SCDPT1'!SCDPT1_53BEGIN_2</vt:lpstr>
      <vt:lpstr>'GMIC_2020-Annu_SCDPT1'!SCDPT1_53BEGIN_20</vt:lpstr>
      <vt:lpstr>'GMIC_2020-Annu_SCDPT1'!SCDPT1_53BEGIN_21</vt:lpstr>
      <vt:lpstr>'GMIC_2020-Annu_SCDPT1'!SCDPT1_53BEGIN_22</vt:lpstr>
      <vt:lpstr>'GMIC_2020-Annu_SCDPT1'!SCDPT1_53BEGIN_23</vt:lpstr>
      <vt:lpstr>'GMIC_2020-Annu_SCDPT1'!SCDPT1_53BEGIN_24</vt:lpstr>
      <vt:lpstr>'GMIC_2020-Annu_SCDPT1'!SCDPT1_53BEGIN_25</vt:lpstr>
      <vt:lpstr>'GMIC_2020-Annu_SCDPT1'!SCDPT1_53BEGIN_26</vt:lpstr>
      <vt:lpstr>'GMIC_2020-Annu_SCDPT1'!SCDPT1_53BEGIN_27</vt:lpstr>
      <vt:lpstr>'GMIC_2020-Annu_SCDPT1'!SCDPT1_53BEGIN_28</vt:lpstr>
      <vt:lpstr>'GMIC_2020-Annu_SCDPT1'!SCDPT1_53BEGIN_29</vt:lpstr>
      <vt:lpstr>'GMIC_2020-Annu_SCDPT1'!SCDPT1_53BEGIN_3</vt:lpstr>
      <vt:lpstr>'GMIC_2020-Annu_SCDPT1'!SCDPT1_53BEGIN_30</vt:lpstr>
      <vt:lpstr>'GMIC_2020-Annu_SCDPT1'!SCDPT1_53BEGIN_31</vt:lpstr>
      <vt:lpstr>'GMIC_2020-Annu_SCDPT1'!SCDPT1_53BEGIN_32</vt:lpstr>
      <vt:lpstr>'GMIC_2020-Annu_SCDPT1'!SCDPT1_53BEGIN_33</vt:lpstr>
      <vt:lpstr>'GMIC_2020-Annu_SCDPT1'!SCDPT1_53BEGIN_34</vt:lpstr>
      <vt:lpstr>'GMIC_2020-Annu_SCDPT1'!SCDPT1_53BEGIN_35</vt:lpstr>
      <vt:lpstr>'GMIC_2020-Annu_SCDPT1'!SCDPT1_53BEGIN_4</vt:lpstr>
      <vt:lpstr>'GMIC_2020-Annu_SCDPT1'!SCDPT1_53BEGIN_5</vt:lpstr>
      <vt:lpstr>'GMIC_2020-Annu_SCDPT1'!SCDPT1_53BEGIN_6.01</vt:lpstr>
      <vt:lpstr>'GMIC_2020-Annu_SCDPT1'!SCDPT1_53BEGIN_6.02</vt:lpstr>
      <vt:lpstr>'GMIC_2020-Annu_SCDPT1'!SCDPT1_53BEGIN_6.03</vt:lpstr>
      <vt:lpstr>'GMIC_2020-Annu_SCDPT1'!SCDPT1_53BEGIN_7</vt:lpstr>
      <vt:lpstr>'GMIC_2020-Annu_SCDPT1'!SCDPT1_53BEGIN_8</vt:lpstr>
      <vt:lpstr>'GMIC_2020-Annu_SCDPT1'!SCDPT1_53BEGIN_9</vt:lpstr>
      <vt:lpstr>'GMIC_2020-Annu_SCDPT1'!SCDPT1_53ENDIN_10</vt:lpstr>
      <vt:lpstr>'GMIC_2020-Annu_SCDPT1'!SCDPT1_53ENDIN_11</vt:lpstr>
      <vt:lpstr>'GMIC_2020-Annu_SCDPT1'!SCDPT1_53ENDIN_12</vt:lpstr>
      <vt:lpstr>'GMIC_2020-Annu_SCDPT1'!SCDPT1_53ENDIN_13</vt:lpstr>
      <vt:lpstr>'GMIC_2020-Annu_SCDPT1'!SCDPT1_53ENDIN_14</vt:lpstr>
      <vt:lpstr>'GMIC_2020-Annu_SCDPT1'!SCDPT1_53ENDIN_15</vt:lpstr>
      <vt:lpstr>'GMIC_2020-Annu_SCDPT1'!SCDPT1_53ENDIN_16</vt:lpstr>
      <vt:lpstr>'GMIC_2020-Annu_SCDPT1'!SCDPT1_53ENDIN_17</vt:lpstr>
      <vt:lpstr>'GMIC_2020-Annu_SCDPT1'!SCDPT1_53ENDIN_18</vt:lpstr>
      <vt:lpstr>'GMIC_2020-Annu_SCDPT1'!SCDPT1_53ENDIN_19</vt:lpstr>
      <vt:lpstr>'GMIC_2020-Annu_SCDPT1'!SCDPT1_53ENDIN_2</vt:lpstr>
      <vt:lpstr>'GMIC_2020-Annu_SCDPT1'!SCDPT1_53ENDIN_20</vt:lpstr>
      <vt:lpstr>'GMIC_2020-Annu_SCDPT1'!SCDPT1_53ENDIN_21</vt:lpstr>
      <vt:lpstr>'GMIC_2020-Annu_SCDPT1'!SCDPT1_53ENDIN_22</vt:lpstr>
      <vt:lpstr>'GMIC_2020-Annu_SCDPT1'!SCDPT1_53ENDIN_23</vt:lpstr>
      <vt:lpstr>'GMIC_2020-Annu_SCDPT1'!SCDPT1_53ENDIN_24</vt:lpstr>
      <vt:lpstr>'GMIC_2020-Annu_SCDPT1'!SCDPT1_53ENDIN_25</vt:lpstr>
      <vt:lpstr>'GMIC_2020-Annu_SCDPT1'!SCDPT1_53ENDIN_26</vt:lpstr>
      <vt:lpstr>'GMIC_2020-Annu_SCDPT1'!SCDPT1_53ENDIN_27</vt:lpstr>
      <vt:lpstr>'GMIC_2020-Annu_SCDPT1'!SCDPT1_53ENDIN_28</vt:lpstr>
      <vt:lpstr>'GMIC_2020-Annu_SCDPT1'!SCDPT1_53ENDIN_29</vt:lpstr>
      <vt:lpstr>'GMIC_2020-Annu_SCDPT1'!SCDPT1_53ENDIN_3</vt:lpstr>
      <vt:lpstr>'GMIC_2020-Annu_SCDPT1'!SCDPT1_53ENDIN_30</vt:lpstr>
      <vt:lpstr>'GMIC_2020-Annu_SCDPT1'!SCDPT1_53ENDIN_31</vt:lpstr>
      <vt:lpstr>'GMIC_2020-Annu_SCDPT1'!SCDPT1_53ENDIN_32</vt:lpstr>
      <vt:lpstr>'GMIC_2020-Annu_SCDPT1'!SCDPT1_53ENDIN_33</vt:lpstr>
      <vt:lpstr>'GMIC_2020-Annu_SCDPT1'!SCDPT1_53ENDIN_34</vt:lpstr>
      <vt:lpstr>'GMIC_2020-Annu_SCDPT1'!SCDPT1_53ENDIN_35</vt:lpstr>
      <vt:lpstr>'GMIC_2020-Annu_SCDPT1'!SCDPT1_53ENDIN_4</vt:lpstr>
      <vt:lpstr>'GMIC_2020-Annu_SCDPT1'!SCDPT1_53ENDIN_5</vt:lpstr>
      <vt:lpstr>'GMIC_2020-Annu_SCDPT1'!SCDPT1_53ENDIN_6.01</vt:lpstr>
      <vt:lpstr>'GMIC_2020-Annu_SCDPT1'!SCDPT1_53ENDIN_6.02</vt:lpstr>
      <vt:lpstr>'GMIC_2020-Annu_SCDPT1'!SCDPT1_53ENDIN_6.03</vt:lpstr>
      <vt:lpstr>'GMIC_2020-Annu_SCDPT1'!SCDPT1_53ENDIN_7</vt:lpstr>
      <vt:lpstr>'GMIC_2020-Annu_SCDPT1'!SCDPT1_53ENDIN_8</vt:lpstr>
      <vt:lpstr>'GMIC_2020-Annu_SCDPT1'!SCDPT1_53ENDIN_9</vt:lpstr>
      <vt:lpstr>'GMIC_2020-Annu_SCDPT1'!SCDPT1_5400000_Range</vt:lpstr>
      <vt:lpstr>'GMIC_2020-Annu_SCDPT1'!SCDPT1_5499999_10</vt:lpstr>
      <vt:lpstr>'GMIC_2020-Annu_SCDPT1'!SCDPT1_5499999_11</vt:lpstr>
      <vt:lpstr>'GMIC_2020-Annu_SCDPT1'!SCDPT1_5499999_12</vt:lpstr>
      <vt:lpstr>'GMIC_2020-Annu_SCDPT1'!SCDPT1_5499999_13</vt:lpstr>
      <vt:lpstr>'GMIC_2020-Annu_SCDPT1'!SCDPT1_5499999_14</vt:lpstr>
      <vt:lpstr>'GMIC_2020-Annu_SCDPT1'!SCDPT1_5499999_15</vt:lpstr>
      <vt:lpstr>'GMIC_2020-Annu_SCDPT1'!SCDPT1_5499999_19</vt:lpstr>
      <vt:lpstr>'GMIC_2020-Annu_SCDPT1'!SCDPT1_5499999_20</vt:lpstr>
      <vt:lpstr>'GMIC_2020-Annu_SCDPT1'!SCDPT1_5499999_7</vt:lpstr>
      <vt:lpstr>'GMIC_2020-Annu_SCDPT1'!SCDPT1_5499999_9</vt:lpstr>
      <vt:lpstr>'GMIC_2020-Annu_SCDPT1'!SCDPT1_54BEGIN_1</vt:lpstr>
      <vt:lpstr>'GMIC_2020-Annu_SCDPT1'!SCDPT1_54BEGIN_10</vt:lpstr>
      <vt:lpstr>'GMIC_2020-Annu_SCDPT1'!SCDPT1_54BEGIN_11</vt:lpstr>
      <vt:lpstr>'GMIC_2020-Annu_SCDPT1'!SCDPT1_54BEGIN_12</vt:lpstr>
      <vt:lpstr>'GMIC_2020-Annu_SCDPT1'!SCDPT1_54BEGIN_13</vt:lpstr>
      <vt:lpstr>'GMIC_2020-Annu_SCDPT1'!SCDPT1_54BEGIN_14</vt:lpstr>
      <vt:lpstr>'GMIC_2020-Annu_SCDPT1'!SCDPT1_54BEGIN_15</vt:lpstr>
      <vt:lpstr>'GMIC_2020-Annu_SCDPT1'!SCDPT1_54BEGIN_16</vt:lpstr>
      <vt:lpstr>'GMIC_2020-Annu_SCDPT1'!SCDPT1_54BEGIN_17</vt:lpstr>
      <vt:lpstr>'GMIC_2020-Annu_SCDPT1'!SCDPT1_54BEGIN_18</vt:lpstr>
      <vt:lpstr>'GMIC_2020-Annu_SCDPT1'!SCDPT1_54BEGIN_19</vt:lpstr>
      <vt:lpstr>'GMIC_2020-Annu_SCDPT1'!SCDPT1_54BEGIN_2</vt:lpstr>
      <vt:lpstr>'GMIC_2020-Annu_SCDPT1'!SCDPT1_54BEGIN_20</vt:lpstr>
      <vt:lpstr>'GMIC_2020-Annu_SCDPT1'!SCDPT1_54BEGIN_21</vt:lpstr>
      <vt:lpstr>'GMIC_2020-Annu_SCDPT1'!SCDPT1_54BEGIN_22</vt:lpstr>
      <vt:lpstr>'GMIC_2020-Annu_SCDPT1'!SCDPT1_54BEGIN_23</vt:lpstr>
      <vt:lpstr>'GMIC_2020-Annu_SCDPT1'!SCDPT1_54BEGIN_24</vt:lpstr>
      <vt:lpstr>'GMIC_2020-Annu_SCDPT1'!SCDPT1_54BEGIN_25</vt:lpstr>
      <vt:lpstr>'GMIC_2020-Annu_SCDPT1'!SCDPT1_54BEGIN_26</vt:lpstr>
      <vt:lpstr>'GMIC_2020-Annu_SCDPT1'!SCDPT1_54BEGIN_27</vt:lpstr>
      <vt:lpstr>'GMIC_2020-Annu_SCDPT1'!SCDPT1_54BEGIN_28</vt:lpstr>
      <vt:lpstr>'GMIC_2020-Annu_SCDPT1'!SCDPT1_54BEGIN_29</vt:lpstr>
      <vt:lpstr>'GMIC_2020-Annu_SCDPT1'!SCDPT1_54BEGIN_3</vt:lpstr>
      <vt:lpstr>'GMIC_2020-Annu_SCDPT1'!SCDPT1_54BEGIN_30</vt:lpstr>
      <vt:lpstr>'GMIC_2020-Annu_SCDPT1'!SCDPT1_54BEGIN_31</vt:lpstr>
      <vt:lpstr>'GMIC_2020-Annu_SCDPT1'!SCDPT1_54BEGIN_32</vt:lpstr>
      <vt:lpstr>'GMIC_2020-Annu_SCDPT1'!SCDPT1_54BEGIN_33</vt:lpstr>
      <vt:lpstr>'GMIC_2020-Annu_SCDPT1'!SCDPT1_54BEGIN_34</vt:lpstr>
      <vt:lpstr>'GMIC_2020-Annu_SCDPT1'!SCDPT1_54BEGIN_35</vt:lpstr>
      <vt:lpstr>'GMIC_2020-Annu_SCDPT1'!SCDPT1_54BEGIN_4</vt:lpstr>
      <vt:lpstr>'GMIC_2020-Annu_SCDPT1'!SCDPT1_54BEGIN_5</vt:lpstr>
      <vt:lpstr>'GMIC_2020-Annu_SCDPT1'!SCDPT1_54BEGIN_6.01</vt:lpstr>
      <vt:lpstr>'GMIC_2020-Annu_SCDPT1'!SCDPT1_54BEGIN_6.02</vt:lpstr>
      <vt:lpstr>'GMIC_2020-Annu_SCDPT1'!SCDPT1_54BEGIN_6.03</vt:lpstr>
      <vt:lpstr>'GMIC_2020-Annu_SCDPT1'!SCDPT1_54BEGIN_7</vt:lpstr>
      <vt:lpstr>'GMIC_2020-Annu_SCDPT1'!SCDPT1_54BEGIN_8</vt:lpstr>
      <vt:lpstr>'GMIC_2020-Annu_SCDPT1'!SCDPT1_54BEGIN_9</vt:lpstr>
      <vt:lpstr>'GMIC_2020-Annu_SCDPT1'!SCDPT1_54ENDIN_10</vt:lpstr>
      <vt:lpstr>'GMIC_2020-Annu_SCDPT1'!SCDPT1_54ENDIN_11</vt:lpstr>
      <vt:lpstr>'GMIC_2020-Annu_SCDPT1'!SCDPT1_54ENDIN_12</vt:lpstr>
      <vt:lpstr>'GMIC_2020-Annu_SCDPT1'!SCDPT1_54ENDIN_13</vt:lpstr>
      <vt:lpstr>'GMIC_2020-Annu_SCDPT1'!SCDPT1_54ENDIN_14</vt:lpstr>
      <vt:lpstr>'GMIC_2020-Annu_SCDPT1'!SCDPT1_54ENDIN_15</vt:lpstr>
      <vt:lpstr>'GMIC_2020-Annu_SCDPT1'!SCDPT1_54ENDIN_16</vt:lpstr>
      <vt:lpstr>'GMIC_2020-Annu_SCDPT1'!SCDPT1_54ENDIN_17</vt:lpstr>
      <vt:lpstr>'GMIC_2020-Annu_SCDPT1'!SCDPT1_54ENDIN_18</vt:lpstr>
      <vt:lpstr>'GMIC_2020-Annu_SCDPT1'!SCDPT1_54ENDIN_19</vt:lpstr>
      <vt:lpstr>'GMIC_2020-Annu_SCDPT1'!SCDPT1_54ENDIN_2</vt:lpstr>
      <vt:lpstr>'GMIC_2020-Annu_SCDPT1'!SCDPT1_54ENDIN_20</vt:lpstr>
      <vt:lpstr>'GMIC_2020-Annu_SCDPT1'!SCDPT1_54ENDIN_21</vt:lpstr>
      <vt:lpstr>'GMIC_2020-Annu_SCDPT1'!SCDPT1_54ENDIN_22</vt:lpstr>
      <vt:lpstr>'GMIC_2020-Annu_SCDPT1'!SCDPT1_54ENDIN_23</vt:lpstr>
      <vt:lpstr>'GMIC_2020-Annu_SCDPT1'!SCDPT1_54ENDIN_24</vt:lpstr>
      <vt:lpstr>'GMIC_2020-Annu_SCDPT1'!SCDPT1_54ENDIN_25</vt:lpstr>
      <vt:lpstr>'GMIC_2020-Annu_SCDPT1'!SCDPT1_54ENDIN_26</vt:lpstr>
      <vt:lpstr>'GMIC_2020-Annu_SCDPT1'!SCDPT1_54ENDIN_27</vt:lpstr>
      <vt:lpstr>'GMIC_2020-Annu_SCDPT1'!SCDPT1_54ENDIN_28</vt:lpstr>
      <vt:lpstr>'GMIC_2020-Annu_SCDPT1'!SCDPT1_54ENDIN_29</vt:lpstr>
      <vt:lpstr>'GMIC_2020-Annu_SCDPT1'!SCDPT1_54ENDIN_3</vt:lpstr>
      <vt:lpstr>'GMIC_2020-Annu_SCDPT1'!SCDPT1_54ENDIN_30</vt:lpstr>
      <vt:lpstr>'GMIC_2020-Annu_SCDPT1'!SCDPT1_54ENDIN_31</vt:lpstr>
      <vt:lpstr>'GMIC_2020-Annu_SCDPT1'!SCDPT1_54ENDIN_32</vt:lpstr>
      <vt:lpstr>'GMIC_2020-Annu_SCDPT1'!SCDPT1_54ENDIN_33</vt:lpstr>
      <vt:lpstr>'GMIC_2020-Annu_SCDPT1'!SCDPT1_54ENDIN_34</vt:lpstr>
      <vt:lpstr>'GMIC_2020-Annu_SCDPT1'!SCDPT1_54ENDIN_35</vt:lpstr>
      <vt:lpstr>'GMIC_2020-Annu_SCDPT1'!SCDPT1_54ENDIN_4</vt:lpstr>
      <vt:lpstr>'GMIC_2020-Annu_SCDPT1'!SCDPT1_54ENDIN_5</vt:lpstr>
      <vt:lpstr>'GMIC_2020-Annu_SCDPT1'!SCDPT1_54ENDIN_6.01</vt:lpstr>
      <vt:lpstr>'GMIC_2020-Annu_SCDPT1'!SCDPT1_54ENDIN_6.02</vt:lpstr>
      <vt:lpstr>'GMIC_2020-Annu_SCDPT1'!SCDPT1_54ENDIN_6.03</vt:lpstr>
      <vt:lpstr>'GMIC_2020-Annu_SCDPT1'!SCDPT1_54ENDIN_7</vt:lpstr>
      <vt:lpstr>'GMIC_2020-Annu_SCDPT1'!SCDPT1_54ENDIN_8</vt:lpstr>
      <vt:lpstr>'GMIC_2020-Annu_SCDPT1'!SCDPT1_54ENDIN_9</vt:lpstr>
      <vt:lpstr>'GMIC_2020-Annu_SCDPT1'!SCDPT1_5599999_10</vt:lpstr>
      <vt:lpstr>'GMIC_2020-Annu_SCDPT1'!SCDPT1_5599999_11</vt:lpstr>
      <vt:lpstr>'GMIC_2020-Annu_SCDPT1'!SCDPT1_5599999_12</vt:lpstr>
      <vt:lpstr>'GMIC_2020-Annu_SCDPT1'!SCDPT1_5599999_13</vt:lpstr>
      <vt:lpstr>'GMIC_2020-Annu_SCDPT1'!SCDPT1_5599999_14</vt:lpstr>
      <vt:lpstr>'GMIC_2020-Annu_SCDPT1'!SCDPT1_5599999_15</vt:lpstr>
      <vt:lpstr>'GMIC_2020-Annu_SCDPT1'!SCDPT1_5599999_19</vt:lpstr>
      <vt:lpstr>'GMIC_2020-Annu_SCDPT1'!SCDPT1_5599999_20</vt:lpstr>
      <vt:lpstr>'GMIC_2020-Annu_SCDPT1'!SCDPT1_5599999_7</vt:lpstr>
      <vt:lpstr>'GMIC_2020-Annu_SCDPT1'!SCDPT1_5599999_9</vt:lpstr>
      <vt:lpstr>'GMIC_2020-Annu_SCDPT1'!SCDPT1_5800000_Range</vt:lpstr>
      <vt:lpstr>'GMIC_2020-Annu_SCDPT1'!SCDPT1_5899999_10</vt:lpstr>
      <vt:lpstr>'GMIC_2020-Annu_SCDPT1'!SCDPT1_5899999_11</vt:lpstr>
      <vt:lpstr>'GMIC_2020-Annu_SCDPT1'!SCDPT1_5899999_12</vt:lpstr>
      <vt:lpstr>'GMIC_2020-Annu_SCDPT1'!SCDPT1_5899999_13</vt:lpstr>
      <vt:lpstr>'GMIC_2020-Annu_SCDPT1'!SCDPT1_5899999_14</vt:lpstr>
      <vt:lpstr>'GMIC_2020-Annu_SCDPT1'!SCDPT1_5899999_15</vt:lpstr>
      <vt:lpstr>'GMIC_2020-Annu_SCDPT1'!SCDPT1_5899999_19</vt:lpstr>
      <vt:lpstr>'GMIC_2020-Annu_SCDPT1'!SCDPT1_5899999_20</vt:lpstr>
      <vt:lpstr>'GMIC_2020-Annu_SCDPT1'!SCDPT1_5899999_7</vt:lpstr>
      <vt:lpstr>'GMIC_2020-Annu_SCDPT1'!SCDPT1_5899999_9</vt:lpstr>
      <vt:lpstr>'GMIC_2020-Annu_SCDPT1'!SCDPT1_58BEGIN_1</vt:lpstr>
      <vt:lpstr>'GMIC_2020-Annu_SCDPT1'!SCDPT1_58BEGIN_10</vt:lpstr>
      <vt:lpstr>'GMIC_2020-Annu_SCDPT1'!SCDPT1_58BEGIN_11</vt:lpstr>
      <vt:lpstr>'GMIC_2020-Annu_SCDPT1'!SCDPT1_58BEGIN_12</vt:lpstr>
      <vt:lpstr>'GMIC_2020-Annu_SCDPT1'!SCDPT1_58BEGIN_13</vt:lpstr>
      <vt:lpstr>'GMIC_2020-Annu_SCDPT1'!SCDPT1_58BEGIN_14</vt:lpstr>
      <vt:lpstr>'GMIC_2020-Annu_SCDPT1'!SCDPT1_58BEGIN_15</vt:lpstr>
      <vt:lpstr>'GMIC_2020-Annu_SCDPT1'!SCDPT1_58BEGIN_16</vt:lpstr>
      <vt:lpstr>'GMIC_2020-Annu_SCDPT1'!SCDPT1_58BEGIN_17</vt:lpstr>
      <vt:lpstr>'GMIC_2020-Annu_SCDPT1'!SCDPT1_58BEGIN_18</vt:lpstr>
      <vt:lpstr>'GMIC_2020-Annu_SCDPT1'!SCDPT1_58BEGIN_19</vt:lpstr>
      <vt:lpstr>'GMIC_2020-Annu_SCDPT1'!SCDPT1_58BEGIN_2</vt:lpstr>
      <vt:lpstr>'GMIC_2020-Annu_SCDPT1'!SCDPT1_58BEGIN_20</vt:lpstr>
      <vt:lpstr>'GMIC_2020-Annu_SCDPT1'!SCDPT1_58BEGIN_21</vt:lpstr>
      <vt:lpstr>'GMIC_2020-Annu_SCDPT1'!SCDPT1_58BEGIN_22</vt:lpstr>
      <vt:lpstr>'GMIC_2020-Annu_SCDPT1'!SCDPT1_58BEGIN_23</vt:lpstr>
      <vt:lpstr>'GMIC_2020-Annu_SCDPT1'!SCDPT1_58BEGIN_24</vt:lpstr>
      <vt:lpstr>'GMIC_2020-Annu_SCDPT1'!SCDPT1_58BEGIN_25</vt:lpstr>
      <vt:lpstr>'GMIC_2020-Annu_SCDPT1'!SCDPT1_58BEGIN_26</vt:lpstr>
      <vt:lpstr>'GMIC_2020-Annu_SCDPT1'!SCDPT1_58BEGIN_27</vt:lpstr>
      <vt:lpstr>'GMIC_2020-Annu_SCDPT1'!SCDPT1_58BEGIN_28</vt:lpstr>
      <vt:lpstr>'GMIC_2020-Annu_SCDPT1'!SCDPT1_58BEGIN_29</vt:lpstr>
      <vt:lpstr>'GMIC_2020-Annu_SCDPT1'!SCDPT1_58BEGIN_3</vt:lpstr>
      <vt:lpstr>'GMIC_2020-Annu_SCDPT1'!SCDPT1_58BEGIN_30</vt:lpstr>
      <vt:lpstr>'GMIC_2020-Annu_SCDPT1'!SCDPT1_58BEGIN_31</vt:lpstr>
      <vt:lpstr>'GMIC_2020-Annu_SCDPT1'!SCDPT1_58BEGIN_32</vt:lpstr>
      <vt:lpstr>'GMIC_2020-Annu_SCDPT1'!SCDPT1_58BEGIN_33</vt:lpstr>
      <vt:lpstr>'GMIC_2020-Annu_SCDPT1'!SCDPT1_58BEGIN_34</vt:lpstr>
      <vt:lpstr>'GMIC_2020-Annu_SCDPT1'!SCDPT1_58BEGIN_35</vt:lpstr>
      <vt:lpstr>'GMIC_2020-Annu_SCDPT1'!SCDPT1_58BEGIN_4</vt:lpstr>
      <vt:lpstr>'GMIC_2020-Annu_SCDPT1'!SCDPT1_58BEGIN_5</vt:lpstr>
      <vt:lpstr>'GMIC_2020-Annu_SCDPT1'!SCDPT1_58BEGIN_6.01</vt:lpstr>
      <vt:lpstr>'GMIC_2020-Annu_SCDPT1'!SCDPT1_58BEGIN_6.02</vt:lpstr>
      <vt:lpstr>'GMIC_2020-Annu_SCDPT1'!SCDPT1_58BEGIN_6.03</vt:lpstr>
      <vt:lpstr>'GMIC_2020-Annu_SCDPT1'!SCDPT1_58BEGIN_7</vt:lpstr>
      <vt:lpstr>'GMIC_2020-Annu_SCDPT1'!SCDPT1_58BEGIN_8</vt:lpstr>
      <vt:lpstr>'GMIC_2020-Annu_SCDPT1'!SCDPT1_58BEGIN_9</vt:lpstr>
      <vt:lpstr>'GMIC_2020-Annu_SCDPT1'!SCDPT1_58ENDIN_10</vt:lpstr>
      <vt:lpstr>'GMIC_2020-Annu_SCDPT1'!SCDPT1_58ENDIN_11</vt:lpstr>
      <vt:lpstr>'GMIC_2020-Annu_SCDPT1'!SCDPT1_58ENDIN_12</vt:lpstr>
      <vt:lpstr>'GMIC_2020-Annu_SCDPT1'!SCDPT1_58ENDIN_13</vt:lpstr>
      <vt:lpstr>'GMIC_2020-Annu_SCDPT1'!SCDPT1_58ENDIN_14</vt:lpstr>
      <vt:lpstr>'GMIC_2020-Annu_SCDPT1'!SCDPT1_58ENDIN_15</vt:lpstr>
      <vt:lpstr>'GMIC_2020-Annu_SCDPT1'!SCDPT1_58ENDIN_16</vt:lpstr>
      <vt:lpstr>'GMIC_2020-Annu_SCDPT1'!SCDPT1_58ENDIN_17</vt:lpstr>
      <vt:lpstr>'GMIC_2020-Annu_SCDPT1'!SCDPT1_58ENDIN_18</vt:lpstr>
      <vt:lpstr>'GMIC_2020-Annu_SCDPT1'!SCDPT1_58ENDIN_19</vt:lpstr>
      <vt:lpstr>'GMIC_2020-Annu_SCDPT1'!SCDPT1_58ENDIN_2</vt:lpstr>
      <vt:lpstr>'GMIC_2020-Annu_SCDPT1'!SCDPT1_58ENDIN_20</vt:lpstr>
      <vt:lpstr>'GMIC_2020-Annu_SCDPT1'!SCDPT1_58ENDIN_21</vt:lpstr>
      <vt:lpstr>'GMIC_2020-Annu_SCDPT1'!SCDPT1_58ENDIN_22</vt:lpstr>
      <vt:lpstr>'GMIC_2020-Annu_SCDPT1'!SCDPT1_58ENDIN_23</vt:lpstr>
      <vt:lpstr>'GMIC_2020-Annu_SCDPT1'!SCDPT1_58ENDIN_24</vt:lpstr>
      <vt:lpstr>'GMIC_2020-Annu_SCDPT1'!SCDPT1_58ENDIN_25</vt:lpstr>
      <vt:lpstr>'GMIC_2020-Annu_SCDPT1'!SCDPT1_58ENDIN_26</vt:lpstr>
      <vt:lpstr>'GMIC_2020-Annu_SCDPT1'!SCDPT1_58ENDIN_27</vt:lpstr>
      <vt:lpstr>'GMIC_2020-Annu_SCDPT1'!SCDPT1_58ENDIN_28</vt:lpstr>
      <vt:lpstr>'GMIC_2020-Annu_SCDPT1'!SCDPT1_58ENDIN_29</vt:lpstr>
      <vt:lpstr>'GMIC_2020-Annu_SCDPT1'!SCDPT1_58ENDIN_3</vt:lpstr>
      <vt:lpstr>'GMIC_2020-Annu_SCDPT1'!SCDPT1_58ENDIN_30</vt:lpstr>
      <vt:lpstr>'GMIC_2020-Annu_SCDPT1'!SCDPT1_58ENDIN_31</vt:lpstr>
      <vt:lpstr>'GMIC_2020-Annu_SCDPT1'!SCDPT1_58ENDIN_32</vt:lpstr>
      <vt:lpstr>'GMIC_2020-Annu_SCDPT1'!SCDPT1_58ENDIN_33</vt:lpstr>
      <vt:lpstr>'GMIC_2020-Annu_SCDPT1'!SCDPT1_58ENDIN_34</vt:lpstr>
      <vt:lpstr>'GMIC_2020-Annu_SCDPT1'!SCDPT1_58ENDIN_35</vt:lpstr>
      <vt:lpstr>'GMIC_2020-Annu_SCDPT1'!SCDPT1_58ENDIN_4</vt:lpstr>
      <vt:lpstr>'GMIC_2020-Annu_SCDPT1'!SCDPT1_58ENDIN_5</vt:lpstr>
      <vt:lpstr>'GMIC_2020-Annu_SCDPT1'!SCDPT1_58ENDIN_6.01</vt:lpstr>
      <vt:lpstr>'GMIC_2020-Annu_SCDPT1'!SCDPT1_58ENDIN_6.02</vt:lpstr>
      <vt:lpstr>'GMIC_2020-Annu_SCDPT1'!SCDPT1_58ENDIN_6.03</vt:lpstr>
      <vt:lpstr>'GMIC_2020-Annu_SCDPT1'!SCDPT1_58ENDIN_7</vt:lpstr>
      <vt:lpstr>'GMIC_2020-Annu_SCDPT1'!SCDPT1_58ENDIN_8</vt:lpstr>
      <vt:lpstr>'GMIC_2020-Annu_SCDPT1'!SCDPT1_58ENDIN_9</vt:lpstr>
      <vt:lpstr>'GMIC_2020-Annu_SCDPT1'!SCDPT1_5900000_Range</vt:lpstr>
      <vt:lpstr>'GMIC_2020-Annu_SCDPT1'!SCDPT1_5999999_10</vt:lpstr>
      <vt:lpstr>'GMIC_2020-Annu_SCDPT1'!SCDPT1_5999999_11</vt:lpstr>
      <vt:lpstr>'GMIC_2020-Annu_SCDPT1'!SCDPT1_5999999_12</vt:lpstr>
      <vt:lpstr>'GMIC_2020-Annu_SCDPT1'!SCDPT1_5999999_13</vt:lpstr>
      <vt:lpstr>'GMIC_2020-Annu_SCDPT1'!SCDPT1_5999999_14</vt:lpstr>
      <vt:lpstr>'GMIC_2020-Annu_SCDPT1'!SCDPT1_5999999_15</vt:lpstr>
      <vt:lpstr>'GMIC_2020-Annu_SCDPT1'!SCDPT1_5999999_19</vt:lpstr>
      <vt:lpstr>'GMIC_2020-Annu_SCDPT1'!SCDPT1_5999999_20</vt:lpstr>
      <vt:lpstr>'GMIC_2020-Annu_SCDPT1'!SCDPT1_5999999_7</vt:lpstr>
      <vt:lpstr>'GMIC_2020-Annu_SCDPT1'!SCDPT1_5999999_9</vt:lpstr>
      <vt:lpstr>'GMIC_2020-Annu_SCDPT1'!SCDPT1_59BEGIN_1</vt:lpstr>
      <vt:lpstr>'GMIC_2020-Annu_SCDPT1'!SCDPT1_59BEGIN_10</vt:lpstr>
      <vt:lpstr>'GMIC_2020-Annu_SCDPT1'!SCDPT1_59BEGIN_11</vt:lpstr>
      <vt:lpstr>'GMIC_2020-Annu_SCDPT1'!SCDPT1_59BEGIN_12</vt:lpstr>
      <vt:lpstr>'GMIC_2020-Annu_SCDPT1'!SCDPT1_59BEGIN_13</vt:lpstr>
      <vt:lpstr>'GMIC_2020-Annu_SCDPT1'!SCDPT1_59BEGIN_14</vt:lpstr>
      <vt:lpstr>'GMIC_2020-Annu_SCDPT1'!SCDPT1_59BEGIN_15</vt:lpstr>
      <vt:lpstr>'GMIC_2020-Annu_SCDPT1'!SCDPT1_59BEGIN_16</vt:lpstr>
      <vt:lpstr>'GMIC_2020-Annu_SCDPT1'!SCDPT1_59BEGIN_17</vt:lpstr>
      <vt:lpstr>'GMIC_2020-Annu_SCDPT1'!SCDPT1_59BEGIN_18</vt:lpstr>
      <vt:lpstr>'GMIC_2020-Annu_SCDPT1'!SCDPT1_59BEGIN_19</vt:lpstr>
      <vt:lpstr>'GMIC_2020-Annu_SCDPT1'!SCDPT1_59BEGIN_2</vt:lpstr>
      <vt:lpstr>'GMIC_2020-Annu_SCDPT1'!SCDPT1_59BEGIN_20</vt:lpstr>
      <vt:lpstr>'GMIC_2020-Annu_SCDPT1'!SCDPT1_59BEGIN_21</vt:lpstr>
      <vt:lpstr>'GMIC_2020-Annu_SCDPT1'!SCDPT1_59BEGIN_22</vt:lpstr>
      <vt:lpstr>'GMIC_2020-Annu_SCDPT1'!SCDPT1_59BEGIN_23</vt:lpstr>
      <vt:lpstr>'GMIC_2020-Annu_SCDPT1'!SCDPT1_59BEGIN_24</vt:lpstr>
      <vt:lpstr>'GMIC_2020-Annu_SCDPT1'!SCDPT1_59BEGIN_25</vt:lpstr>
      <vt:lpstr>'GMIC_2020-Annu_SCDPT1'!SCDPT1_59BEGIN_26</vt:lpstr>
      <vt:lpstr>'GMIC_2020-Annu_SCDPT1'!SCDPT1_59BEGIN_27</vt:lpstr>
      <vt:lpstr>'GMIC_2020-Annu_SCDPT1'!SCDPT1_59BEGIN_28</vt:lpstr>
      <vt:lpstr>'GMIC_2020-Annu_SCDPT1'!SCDPT1_59BEGIN_29</vt:lpstr>
      <vt:lpstr>'GMIC_2020-Annu_SCDPT1'!SCDPT1_59BEGIN_3</vt:lpstr>
      <vt:lpstr>'GMIC_2020-Annu_SCDPT1'!SCDPT1_59BEGIN_30</vt:lpstr>
      <vt:lpstr>'GMIC_2020-Annu_SCDPT1'!SCDPT1_59BEGIN_31</vt:lpstr>
      <vt:lpstr>'GMIC_2020-Annu_SCDPT1'!SCDPT1_59BEGIN_32</vt:lpstr>
      <vt:lpstr>'GMIC_2020-Annu_SCDPT1'!SCDPT1_59BEGIN_33</vt:lpstr>
      <vt:lpstr>'GMIC_2020-Annu_SCDPT1'!SCDPT1_59BEGIN_34</vt:lpstr>
      <vt:lpstr>'GMIC_2020-Annu_SCDPT1'!SCDPT1_59BEGIN_35</vt:lpstr>
      <vt:lpstr>'GMIC_2020-Annu_SCDPT1'!SCDPT1_59BEGIN_4</vt:lpstr>
      <vt:lpstr>'GMIC_2020-Annu_SCDPT1'!SCDPT1_59BEGIN_5</vt:lpstr>
      <vt:lpstr>'GMIC_2020-Annu_SCDPT1'!SCDPT1_59BEGIN_6.01</vt:lpstr>
      <vt:lpstr>'GMIC_2020-Annu_SCDPT1'!SCDPT1_59BEGIN_6.02</vt:lpstr>
      <vt:lpstr>'GMIC_2020-Annu_SCDPT1'!SCDPT1_59BEGIN_6.03</vt:lpstr>
      <vt:lpstr>'GMIC_2020-Annu_SCDPT1'!SCDPT1_59BEGIN_7</vt:lpstr>
      <vt:lpstr>'GMIC_2020-Annu_SCDPT1'!SCDPT1_59BEGIN_8</vt:lpstr>
      <vt:lpstr>'GMIC_2020-Annu_SCDPT1'!SCDPT1_59BEGIN_9</vt:lpstr>
      <vt:lpstr>'GMIC_2020-Annu_SCDPT1'!SCDPT1_59ENDIN_10</vt:lpstr>
      <vt:lpstr>'GMIC_2020-Annu_SCDPT1'!SCDPT1_59ENDIN_11</vt:lpstr>
      <vt:lpstr>'GMIC_2020-Annu_SCDPT1'!SCDPT1_59ENDIN_12</vt:lpstr>
      <vt:lpstr>'GMIC_2020-Annu_SCDPT1'!SCDPT1_59ENDIN_13</vt:lpstr>
      <vt:lpstr>'GMIC_2020-Annu_SCDPT1'!SCDPT1_59ENDIN_14</vt:lpstr>
      <vt:lpstr>'GMIC_2020-Annu_SCDPT1'!SCDPT1_59ENDIN_15</vt:lpstr>
      <vt:lpstr>'GMIC_2020-Annu_SCDPT1'!SCDPT1_59ENDIN_16</vt:lpstr>
      <vt:lpstr>'GMIC_2020-Annu_SCDPT1'!SCDPT1_59ENDIN_17</vt:lpstr>
      <vt:lpstr>'GMIC_2020-Annu_SCDPT1'!SCDPT1_59ENDIN_18</vt:lpstr>
      <vt:lpstr>'GMIC_2020-Annu_SCDPT1'!SCDPT1_59ENDIN_19</vt:lpstr>
      <vt:lpstr>'GMIC_2020-Annu_SCDPT1'!SCDPT1_59ENDIN_2</vt:lpstr>
      <vt:lpstr>'GMIC_2020-Annu_SCDPT1'!SCDPT1_59ENDIN_20</vt:lpstr>
      <vt:lpstr>'GMIC_2020-Annu_SCDPT1'!SCDPT1_59ENDIN_21</vt:lpstr>
      <vt:lpstr>'GMIC_2020-Annu_SCDPT1'!SCDPT1_59ENDIN_22</vt:lpstr>
      <vt:lpstr>'GMIC_2020-Annu_SCDPT1'!SCDPT1_59ENDIN_23</vt:lpstr>
      <vt:lpstr>'GMIC_2020-Annu_SCDPT1'!SCDPT1_59ENDIN_24</vt:lpstr>
      <vt:lpstr>'GMIC_2020-Annu_SCDPT1'!SCDPT1_59ENDIN_25</vt:lpstr>
      <vt:lpstr>'GMIC_2020-Annu_SCDPT1'!SCDPT1_59ENDIN_26</vt:lpstr>
      <vt:lpstr>'GMIC_2020-Annu_SCDPT1'!SCDPT1_59ENDIN_27</vt:lpstr>
      <vt:lpstr>'GMIC_2020-Annu_SCDPT1'!SCDPT1_59ENDIN_28</vt:lpstr>
      <vt:lpstr>'GMIC_2020-Annu_SCDPT1'!SCDPT1_59ENDIN_29</vt:lpstr>
      <vt:lpstr>'GMIC_2020-Annu_SCDPT1'!SCDPT1_59ENDIN_3</vt:lpstr>
      <vt:lpstr>'GMIC_2020-Annu_SCDPT1'!SCDPT1_59ENDIN_30</vt:lpstr>
      <vt:lpstr>'GMIC_2020-Annu_SCDPT1'!SCDPT1_59ENDIN_31</vt:lpstr>
      <vt:lpstr>'GMIC_2020-Annu_SCDPT1'!SCDPT1_59ENDIN_32</vt:lpstr>
      <vt:lpstr>'GMIC_2020-Annu_SCDPT1'!SCDPT1_59ENDIN_33</vt:lpstr>
      <vt:lpstr>'GMIC_2020-Annu_SCDPT1'!SCDPT1_59ENDIN_34</vt:lpstr>
      <vt:lpstr>'GMIC_2020-Annu_SCDPT1'!SCDPT1_59ENDIN_35</vt:lpstr>
      <vt:lpstr>'GMIC_2020-Annu_SCDPT1'!SCDPT1_59ENDIN_4</vt:lpstr>
      <vt:lpstr>'GMIC_2020-Annu_SCDPT1'!SCDPT1_59ENDIN_5</vt:lpstr>
      <vt:lpstr>'GMIC_2020-Annu_SCDPT1'!SCDPT1_59ENDIN_6.01</vt:lpstr>
      <vt:lpstr>'GMIC_2020-Annu_SCDPT1'!SCDPT1_59ENDIN_6.02</vt:lpstr>
      <vt:lpstr>'GMIC_2020-Annu_SCDPT1'!SCDPT1_59ENDIN_6.03</vt:lpstr>
      <vt:lpstr>'GMIC_2020-Annu_SCDPT1'!SCDPT1_59ENDIN_7</vt:lpstr>
      <vt:lpstr>'GMIC_2020-Annu_SCDPT1'!SCDPT1_59ENDIN_8</vt:lpstr>
      <vt:lpstr>'GMIC_2020-Annu_SCDPT1'!SCDPT1_59ENDIN_9</vt:lpstr>
      <vt:lpstr>'GMIC_2020-Annu_SCDPT1'!SCDPT1_6099999_10</vt:lpstr>
      <vt:lpstr>'GMIC_2020-Annu_SCDPT1'!SCDPT1_6099999_11</vt:lpstr>
      <vt:lpstr>'GMIC_2020-Annu_SCDPT1'!SCDPT1_6099999_12</vt:lpstr>
      <vt:lpstr>'GMIC_2020-Annu_SCDPT1'!SCDPT1_6099999_13</vt:lpstr>
      <vt:lpstr>'GMIC_2020-Annu_SCDPT1'!SCDPT1_6099999_14</vt:lpstr>
      <vt:lpstr>'GMIC_2020-Annu_SCDPT1'!SCDPT1_6099999_15</vt:lpstr>
      <vt:lpstr>'GMIC_2020-Annu_SCDPT1'!SCDPT1_6099999_19</vt:lpstr>
      <vt:lpstr>'GMIC_2020-Annu_SCDPT1'!SCDPT1_6099999_20</vt:lpstr>
      <vt:lpstr>'GMIC_2020-Annu_SCDPT1'!SCDPT1_6099999_7</vt:lpstr>
      <vt:lpstr>'GMIC_2020-Annu_SCDPT1'!SCDPT1_6099999_9</vt:lpstr>
      <vt:lpstr>'GMIC_2020-Annu_SCDPT1'!SCDPT1_6300000_Range</vt:lpstr>
      <vt:lpstr>'GMIC_2020-Annu_SCDPT1'!SCDPT1_6399999_10</vt:lpstr>
      <vt:lpstr>'GMIC_2020-Annu_SCDPT1'!SCDPT1_6399999_11</vt:lpstr>
      <vt:lpstr>'GMIC_2020-Annu_SCDPT1'!SCDPT1_6399999_12</vt:lpstr>
      <vt:lpstr>'GMIC_2020-Annu_SCDPT1'!SCDPT1_6399999_13</vt:lpstr>
      <vt:lpstr>'GMIC_2020-Annu_SCDPT1'!SCDPT1_6399999_14</vt:lpstr>
      <vt:lpstr>'GMIC_2020-Annu_SCDPT1'!SCDPT1_6399999_15</vt:lpstr>
      <vt:lpstr>'GMIC_2020-Annu_SCDPT1'!SCDPT1_6399999_19</vt:lpstr>
      <vt:lpstr>'GMIC_2020-Annu_SCDPT1'!SCDPT1_6399999_20</vt:lpstr>
      <vt:lpstr>'GMIC_2020-Annu_SCDPT1'!SCDPT1_6399999_7</vt:lpstr>
      <vt:lpstr>'GMIC_2020-Annu_SCDPT1'!SCDPT1_6399999_9</vt:lpstr>
      <vt:lpstr>'GMIC_2020-Annu_SCDPT1'!SCDPT1_63BEGIN_1</vt:lpstr>
      <vt:lpstr>'GMIC_2020-Annu_SCDPT1'!SCDPT1_63BEGIN_10</vt:lpstr>
      <vt:lpstr>'GMIC_2020-Annu_SCDPT1'!SCDPT1_63BEGIN_11</vt:lpstr>
      <vt:lpstr>'GMIC_2020-Annu_SCDPT1'!SCDPT1_63BEGIN_12</vt:lpstr>
      <vt:lpstr>'GMIC_2020-Annu_SCDPT1'!SCDPT1_63BEGIN_13</vt:lpstr>
      <vt:lpstr>'GMIC_2020-Annu_SCDPT1'!SCDPT1_63BEGIN_14</vt:lpstr>
      <vt:lpstr>'GMIC_2020-Annu_SCDPT1'!SCDPT1_63BEGIN_15</vt:lpstr>
      <vt:lpstr>'GMIC_2020-Annu_SCDPT1'!SCDPT1_63BEGIN_16</vt:lpstr>
      <vt:lpstr>'GMIC_2020-Annu_SCDPT1'!SCDPT1_63BEGIN_17</vt:lpstr>
      <vt:lpstr>'GMIC_2020-Annu_SCDPT1'!SCDPT1_63BEGIN_18</vt:lpstr>
      <vt:lpstr>'GMIC_2020-Annu_SCDPT1'!SCDPT1_63BEGIN_19</vt:lpstr>
      <vt:lpstr>'GMIC_2020-Annu_SCDPT1'!SCDPT1_63BEGIN_2</vt:lpstr>
      <vt:lpstr>'GMIC_2020-Annu_SCDPT1'!SCDPT1_63BEGIN_20</vt:lpstr>
      <vt:lpstr>'GMIC_2020-Annu_SCDPT1'!SCDPT1_63BEGIN_21</vt:lpstr>
      <vt:lpstr>'GMIC_2020-Annu_SCDPT1'!SCDPT1_63BEGIN_22</vt:lpstr>
      <vt:lpstr>'GMIC_2020-Annu_SCDPT1'!SCDPT1_63BEGIN_23</vt:lpstr>
      <vt:lpstr>'GMIC_2020-Annu_SCDPT1'!SCDPT1_63BEGIN_24</vt:lpstr>
      <vt:lpstr>'GMIC_2020-Annu_SCDPT1'!SCDPT1_63BEGIN_25</vt:lpstr>
      <vt:lpstr>'GMIC_2020-Annu_SCDPT1'!SCDPT1_63BEGIN_26</vt:lpstr>
      <vt:lpstr>'GMIC_2020-Annu_SCDPT1'!SCDPT1_63BEGIN_27</vt:lpstr>
      <vt:lpstr>'GMIC_2020-Annu_SCDPT1'!SCDPT1_63BEGIN_28</vt:lpstr>
      <vt:lpstr>'GMIC_2020-Annu_SCDPT1'!SCDPT1_63BEGIN_29</vt:lpstr>
      <vt:lpstr>'GMIC_2020-Annu_SCDPT1'!SCDPT1_63BEGIN_3</vt:lpstr>
      <vt:lpstr>'GMIC_2020-Annu_SCDPT1'!SCDPT1_63BEGIN_30</vt:lpstr>
      <vt:lpstr>'GMIC_2020-Annu_SCDPT1'!SCDPT1_63BEGIN_31</vt:lpstr>
      <vt:lpstr>'GMIC_2020-Annu_SCDPT1'!SCDPT1_63BEGIN_32</vt:lpstr>
      <vt:lpstr>'GMIC_2020-Annu_SCDPT1'!SCDPT1_63BEGIN_33</vt:lpstr>
      <vt:lpstr>'GMIC_2020-Annu_SCDPT1'!SCDPT1_63BEGIN_34</vt:lpstr>
      <vt:lpstr>'GMIC_2020-Annu_SCDPT1'!SCDPT1_63BEGIN_35</vt:lpstr>
      <vt:lpstr>'GMIC_2020-Annu_SCDPT1'!SCDPT1_63BEGIN_4</vt:lpstr>
      <vt:lpstr>'GMIC_2020-Annu_SCDPT1'!SCDPT1_63BEGIN_5</vt:lpstr>
      <vt:lpstr>'GMIC_2020-Annu_SCDPT1'!SCDPT1_63BEGIN_6.01</vt:lpstr>
      <vt:lpstr>'GMIC_2020-Annu_SCDPT1'!SCDPT1_63BEGIN_6.02</vt:lpstr>
      <vt:lpstr>'GMIC_2020-Annu_SCDPT1'!SCDPT1_63BEGIN_6.03</vt:lpstr>
      <vt:lpstr>'GMIC_2020-Annu_SCDPT1'!SCDPT1_63BEGIN_7</vt:lpstr>
      <vt:lpstr>'GMIC_2020-Annu_SCDPT1'!SCDPT1_63BEGIN_8</vt:lpstr>
      <vt:lpstr>'GMIC_2020-Annu_SCDPT1'!SCDPT1_63BEGIN_9</vt:lpstr>
      <vt:lpstr>'GMIC_2020-Annu_SCDPT1'!SCDPT1_63ENDIN_10</vt:lpstr>
      <vt:lpstr>'GMIC_2020-Annu_SCDPT1'!SCDPT1_63ENDIN_11</vt:lpstr>
      <vt:lpstr>'GMIC_2020-Annu_SCDPT1'!SCDPT1_63ENDIN_12</vt:lpstr>
      <vt:lpstr>'GMIC_2020-Annu_SCDPT1'!SCDPT1_63ENDIN_13</vt:lpstr>
      <vt:lpstr>'GMIC_2020-Annu_SCDPT1'!SCDPT1_63ENDIN_14</vt:lpstr>
      <vt:lpstr>'GMIC_2020-Annu_SCDPT1'!SCDPT1_63ENDIN_15</vt:lpstr>
      <vt:lpstr>'GMIC_2020-Annu_SCDPT1'!SCDPT1_63ENDIN_16</vt:lpstr>
      <vt:lpstr>'GMIC_2020-Annu_SCDPT1'!SCDPT1_63ENDIN_17</vt:lpstr>
      <vt:lpstr>'GMIC_2020-Annu_SCDPT1'!SCDPT1_63ENDIN_18</vt:lpstr>
      <vt:lpstr>'GMIC_2020-Annu_SCDPT1'!SCDPT1_63ENDIN_19</vt:lpstr>
      <vt:lpstr>'GMIC_2020-Annu_SCDPT1'!SCDPT1_63ENDIN_2</vt:lpstr>
      <vt:lpstr>'GMIC_2020-Annu_SCDPT1'!SCDPT1_63ENDIN_20</vt:lpstr>
      <vt:lpstr>'GMIC_2020-Annu_SCDPT1'!SCDPT1_63ENDIN_21</vt:lpstr>
      <vt:lpstr>'GMIC_2020-Annu_SCDPT1'!SCDPT1_63ENDIN_22</vt:lpstr>
      <vt:lpstr>'GMIC_2020-Annu_SCDPT1'!SCDPT1_63ENDIN_23</vt:lpstr>
      <vt:lpstr>'GMIC_2020-Annu_SCDPT1'!SCDPT1_63ENDIN_24</vt:lpstr>
      <vt:lpstr>'GMIC_2020-Annu_SCDPT1'!SCDPT1_63ENDIN_25</vt:lpstr>
      <vt:lpstr>'GMIC_2020-Annu_SCDPT1'!SCDPT1_63ENDIN_26</vt:lpstr>
      <vt:lpstr>'GMIC_2020-Annu_SCDPT1'!SCDPT1_63ENDIN_27</vt:lpstr>
      <vt:lpstr>'GMIC_2020-Annu_SCDPT1'!SCDPT1_63ENDIN_28</vt:lpstr>
      <vt:lpstr>'GMIC_2020-Annu_SCDPT1'!SCDPT1_63ENDIN_29</vt:lpstr>
      <vt:lpstr>'GMIC_2020-Annu_SCDPT1'!SCDPT1_63ENDIN_3</vt:lpstr>
      <vt:lpstr>'GMIC_2020-Annu_SCDPT1'!SCDPT1_63ENDIN_30</vt:lpstr>
      <vt:lpstr>'GMIC_2020-Annu_SCDPT1'!SCDPT1_63ENDIN_31</vt:lpstr>
      <vt:lpstr>'GMIC_2020-Annu_SCDPT1'!SCDPT1_63ENDIN_32</vt:lpstr>
      <vt:lpstr>'GMIC_2020-Annu_SCDPT1'!SCDPT1_63ENDIN_33</vt:lpstr>
      <vt:lpstr>'GMIC_2020-Annu_SCDPT1'!SCDPT1_63ENDIN_34</vt:lpstr>
      <vt:lpstr>'GMIC_2020-Annu_SCDPT1'!SCDPT1_63ENDIN_35</vt:lpstr>
      <vt:lpstr>'GMIC_2020-Annu_SCDPT1'!SCDPT1_63ENDIN_4</vt:lpstr>
      <vt:lpstr>'GMIC_2020-Annu_SCDPT1'!SCDPT1_63ENDIN_5</vt:lpstr>
      <vt:lpstr>'GMIC_2020-Annu_SCDPT1'!SCDPT1_63ENDIN_6.01</vt:lpstr>
      <vt:lpstr>'GMIC_2020-Annu_SCDPT1'!SCDPT1_63ENDIN_6.02</vt:lpstr>
      <vt:lpstr>'GMIC_2020-Annu_SCDPT1'!SCDPT1_63ENDIN_6.03</vt:lpstr>
      <vt:lpstr>'GMIC_2020-Annu_SCDPT1'!SCDPT1_63ENDIN_7</vt:lpstr>
      <vt:lpstr>'GMIC_2020-Annu_SCDPT1'!SCDPT1_63ENDIN_8</vt:lpstr>
      <vt:lpstr>'GMIC_2020-Annu_SCDPT1'!SCDPT1_63ENDIN_9</vt:lpstr>
      <vt:lpstr>'GMIC_2020-Annu_SCDPT1'!SCDPT1_6400000_Range</vt:lpstr>
      <vt:lpstr>'GMIC_2020-Annu_SCDPT1'!SCDPT1_6499999_10</vt:lpstr>
      <vt:lpstr>'GMIC_2020-Annu_SCDPT1'!SCDPT1_6499999_11</vt:lpstr>
      <vt:lpstr>'GMIC_2020-Annu_SCDPT1'!SCDPT1_6499999_12</vt:lpstr>
      <vt:lpstr>'GMIC_2020-Annu_SCDPT1'!SCDPT1_6499999_13</vt:lpstr>
      <vt:lpstr>'GMIC_2020-Annu_SCDPT1'!SCDPT1_6499999_14</vt:lpstr>
      <vt:lpstr>'GMIC_2020-Annu_SCDPT1'!SCDPT1_6499999_15</vt:lpstr>
      <vt:lpstr>'GMIC_2020-Annu_SCDPT1'!SCDPT1_6499999_19</vt:lpstr>
      <vt:lpstr>'GMIC_2020-Annu_SCDPT1'!SCDPT1_6499999_20</vt:lpstr>
      <vt:lpstr>'GMIC_2020-Annu_SCDPT1'!SCDPT1_6499999_7</vt:lpstr>
      <vt:lpstr>'GMIC_2020-Annu_SCDPT1'!SCDPT1_6499999_9</vt:lpstr>
      <vt:lpstr>'GMIC_2020-Annu_SCDPT1'!SCDPT1_64BEGIN_1</vt:lpstr>
      <vt:lpstr>'GMIC_2020-Annu_SCDPT1'!SCDPT1_64BEGIN_10</vt:lpstr>
      <vt:lpstr>'GMIC_2020-Annu_SCDPT1'!SCDPT1_64BEGIN_11</vt:lpstr>
      <vt:lpstr>'GMIC_2020-Annu_SCDPT1'!SCDPT1_64BEGIN_12</vt:lpstr>
      <vt:lpstr>'GMIC_2020-Annu_SCDPT1'!SCDPT1_64BEGIN_13</vt:lpstr>
      <vt:lpstr>'GMIC_2020-Annu_SCDPT1'!SCDPT1_64BEGIN_14</vt:lpstr>
      <vt:lpstr>'GMIC_2020-Annu_SCDPT1'!SCDPT1_64BEGIN_15</vt:lpstr>
      <vt:lpstr>'GMIC_2020-Annu_SCDPT1'!SCDPT1_64BEGIN_16</vt:lpstr>
      <vt:lpstr>'GMIC_2020-Annu_SCDPT1'!SCDPT1_64BEGIN_17</vt:lpstr>
      <vt:lpstr>'GMIC_2020-Annu_SCDPT1'!SCDPT1_64BEGIN_18</vt:lpstr>
      <vt:lpstr>'GMIC_2020-Annu_SCDPT1'!SCDPT1_64BEGIN_19</vt:lpstr>
      <vt:lpstr>'GMIC_2020-Annu_SCDPT1'!SCDPT1_64BEGIN_2</vt:lpstr>
      <vt:lpstr>'GMIC_2020-Annu_SCDPT1'!SCDPT1_64BEGIN_20</vt:lpstr>
      <vt:lpstr>'GMIC_2020-Annu_SCDPT1'!SCDPT1_64BEGIN_21</vt:lpstr>
      <vt:lpstr>'GMIC_2020-Annu_SCDPT1'!SCDPT1_64BEGIN_22</vt:lpstr>
      <vt:lpstr>'GMIC_2020-Annu_SCDPT1'!SCDPT1_64BEGIN_23</vt:lpstr>
      <vt:lpstr>'GMIC_2020-Annu_SCDPT1'!SCDPT1_64BEGIN_24</vt:lpstr>
      <vt:lpstr>'GMIC_2020-Annu_SCDPT1'!SCDPT1_64BEGIN_25</vt:lpstr>
      <vt:lpstr>'GMIC_2020-Annu_SCDPT1'!SCDPT1_64BEGIN_26</vt:lpstr>
      <vt:lpstr>'GMIC_2020-Annu_SCDPT1'!SCDPT1_64BEGIN_27</vt:lpstr>
      <vt:lpstr>'GMIC_2020-Annu_SCDPT1'!SCDPT1_64BEGIN_28</vt:lpstr>
      <vt:lpstr>'GMIC_2020-Annu_SCDPT1'!SCDPT1_64BEGIN_29</vt:lpstr>
      <vt:lpstr>'GMIC_2020-Annu_SCDPT1'!SCDPT1_64BEGIN_3</vt:lpstr>
      <vt:lpstr>'GMIC_2020-Annu_SCDPT1'!SCDPT1_64BEGIN_30</vt:lpstr>
      <vt:lpstr>'GMIC_2020-Annu_SCDPT1'!SCDPT1_64BEGIN_31</vt:lpstr>
      <vt:lpstr>'GMIC_2020-Annu_SCDPT1'!SCDPT1_64BEGIN_32</vt:lpstr>
      <vt:lpstr>'GMIC_2020-Annu_SCDPT1'!SCDPT1_64BEGIN_33</vt:lpstr>
      <vt:lpstr>'GMIC_2020-Annu_SCDPT1'!SCDPT1_64BEGIN_34</vt:lpstr>
      <vt:lpstr>'GMIC_2020-Annu_SCDPT1'!SCDPT1_64BEGIN_35</vt:lpstr>
      <vt:lpstr>'GMIC_2020-Annu_SCDPT1'!SCDPT1_64BEGIN_4</vt:lpstr>
      <vt:lpstr>'GMIC_2020-Annu_SCDPT1'!SCDPT1_64BEGIN_5</vt:lpstr>
      <vt:lpstr>'GMIC_2020-Annu_SCDPT1'!SCDPT1_64BEGIN_6.01</vt:lpstr>
      <vt:lpstr>'GMIC_2020-Annu_SCDPT1'!SCDPT1_64BEGIN_6.02</vt:lpstr>
      <vt:lpstr>'GMIC_2020-Annu_SCDPT1'!SCDPT1_64BEGIN_6.03</vt:lpstr>
      <vt:lpstr>'GMIC_2020-Annu_SCDPT1'!SCDPT1_64BEGIN_7</vt:lpstr>
      <vt:lpstr>'GMIC_2020-Annu_SCDPT1'!SCDPT1_64BEGIN_8</vt:lpstr>
      <vt:lpstr>'GMIC_2020-Annu_SCDPT1'!SCDPT1_64BEGIN_9</vt:lpstr>
      <vt:lpstr>'GMIC_2020-Annu_SCDPT1'!SCDPT1_64ENDIN_10</vt:lpstr>
      <vt:lpstr>'GMIC_2020-Annu_SCDPT1'!SCDPT1_64ENDIN_11</vt:lpstr>
      <vt:lpstr>'GMIC_2020-Annu_SCDPT1'!SCDPT1_64ENDIN_12</vt:lpstr>
      <vt:lpstr>'GMIC_2020-Annu_SCDPT1'!SCDPT1_64ENDIN_13</vt:lpstr>
      <vt:lpstr>'GMIC_2020-Annu_SCDPT1'!SCDPT1_64ENDIN_14</vt:lpstr>
      <vt:lpstr>'GMIC_2020-Annu_SCDPT1'!SCDPT1_64ENDIN_15</vt:lpstr>
      <vt:lpstr>'GMIC_2020-Annu_SCDPT1'!SCDPT1_64ENDIN_16</vt:lpstr>
      <vt:lpstr>'GMIC_2020-Annu_SCDPT1'!SCDPT1_64ENDIN_17</vt:lpstr>
      <vt:lpstr>'GMIC_2020-Annu_SCDPT1'!SCDPT1_64ENDIN_18</vt:lpstr>
      <vt:lpstr>'GMIC_2020-Annu_SCDPT1'!SCDPT1_64ENDIN_19</vt:lpstr>
      <vt:lpstr>'GMIC_2020-Annu_SCDPT1'!SCDPT1_64ENDIN_2</vt:lpstr>
      <vt:lpstr>'GMIC_2020-Annu_SCDPT1'!SCDPT1_64ENDIN_20</vt:lpstr>
      <vt:lpstr>'GMIC_2020-Annu_SCDPT1'!SCDPT1_64ENDIN_21</vt:lpstr>
      <vt:lpstr>'GMIC_2020-Annu_SCDPT1'!SCDPT1_64ENDIN_22</vt:lpstr>
      <vt:lpstr>'GMIC_2020-Annu_SCDPT1'!SCDPT1_64ENDIN_23</vt:lpstr>
      <vt:lpstr>'GMIC_2020-Annu_SCDPT1'!SCDPT1_64ENDIN_24</vt:lpstr>
      <vt:lpstr>'GMIC_2020-Annu_SCDPT1'!SCDPT1_64ENDIN_25</vt:lpstr>
      <vt:lpstr>'GMIC_2020-Annu_SCDPT1'!SCDPT1_64ENDIN_26</vt:lpstr>
      <vt:lpstr>'GMIC_2020-Annu_SCDPT1'!SCDPT1_64ENDIN_27</vt:lpstr>
      <vt:lpstr>'GMIC_2020-Annu_SCDPT1'!SCDPT1_64ENDIN_28</vt:lpstr>
      <vt:lpstr>'GMIC_2020-Annu_SCDPT1'!SCDPT1_64ENDIN_29</vt:lpstr>
      <vt:lpstr>'GMIC_2020-Annu_SCDPT1'!SCDPT1_64ENDIN_3</vt:lpstr>
      <vt:lpstr>'GMIC_2020-Annu_SCDPT1'!SCDPT1_64ENDIN_30</vt:lpstr>
      <vt:lpstr>'GMIC_2020-Annu_SCDPT1'!SCDPT1_64ENDIN_31</vt:lpstr>
      <vt:lpstr>'GMIC_2020-Annu_SCDPT1'!SCDPT1_64ENDIN_32</vt:lpstr>
      <vt:lpstr>'GMIC_2020-Annu_SCDPT1'!SCDPT1_64ENDIN_33</vt:lpstr>
      <vt:lpstr>'GMIC_2020-Annu_SCDPT1'!SCDPT1_64ENDIN_34</vt:lpstr>
      <vt:lpstr>'GMIC_2020-Annu_SCDPT1'!SCDPT1_64ENDIN_35</vt:lpstr>
      <vt:lpstr>'GMIC_2020-Annu_SCDPT1'!SCDPT1_64ENDIN_4</vt:lpstr>
      <vt:lpstr>'GMIC_2020-Annu_SCDPT1'!SCDPT1_64ENDIN_5</vt:lpstr>
      <vt:lpstr>'GMIC_2020-Annu_SCDPT1'!SCDPT1_64ENDIN_6.01</vt:lpstr>
      <vt:lpstr>'GMIC_2020-Annu_SCDPT1'!SCDPT1_64ENDIN_6.02</vt:lpstr>
      <vt:lpstr>'GMIC_2020-Annu_SCDPT1'!SCDPT1_64ENDIN_6.03</vt:lpstr>
      <vt:lpstr>'GMIC_2020-Annu_SCDPT1'!SCDPT1_64ENDIN_7</vt:lpstr>
      <vt:lpstr>'GMIC_2020-Annu_SCDPT1'!SCDPT1_64ENDIN_8</vt:lpstr>
      <vt:lpstr>'GMIC_2020-Annu_SCDPT1'!SCDPT1_64ENDIN_9</vt:lpstr>
      <vt:lpstr>'GMIC_2020-Annu_SCDPT1'!SCDPT1_6599999_10</vt:lpstr>
      <vt:lpstr>'GMIC_2020-Annu_SCDPT1'!SCDPT1_6599999_11</vt:lpstr>
      <vt:lpstr>'GMIC_2020-Annu_SCDPT1'!SCDPT1_6599999_12</vt:lpstr>
      <vt:lpstr>'GMIC_2020-Annu_SCDPT1'!SCDPT1_6599999_13</vt:lpstr>
      <vt:lpstr>'GMIC_2020-Annu_SCDPT1'!SCDPT1_6599999_14</vt:lpstr>
      <vt:lpstr>'GMIC_2020-Annu_SCDPT1'!SCDPT1_6599999_15</vt:lpstr>
      <vt:lpstr>'GMIC_2020-Annu_SCDPT1'!SCDPT1_6599999_19</vt:lpstr>
      <vt:lpstr>'GMIC_2020-Annu_SCDPT1'!SCDPT1_6599999_20</vt:lpstr>
      <vt:lpstr>'GMIC_2020-Annu_SCDPT1'!SCDPT1_6599999_7</vt:lpstr>
      <vt:lpstr>'GMIC_2020-Annu_SCDPT1'!SCDPT1_6599999_9</vt:lpstr>
      <vt:lpstr>'GMIC_2020-Annu_SCDPT1'!SCDPT1_7699999_10</vt:lpstr>
      <vt:lpstr>'GMIC_2020-Annu_SCDPT1'!SCDPT1_7699999_11</vt:lpstr>
      <vt:lpstr>'GMIC_2020-Annu_SCDPT1'!SCDPT1_7699999_12</vt:lpstr>
      <vt:lpstr>'GMIC_2020-Annu_SCDPT1'!SCDPT1_7699999_13</vt:lpstr>
      <vt:lpstr>'GMIC_2020-Annu_SCDPT1'!SCDPT1_7699999_14</vt:lpstr>
      <vt:lpstr>'GMIC_2020-Annu_SCDPT1'!SCDPT1_7699999_15</vt:lpstr>
      <vt:lpstr>'GMIC_2020-Annu_SCDPT1'!SCDPT1_7699999_19</vt:lpstr>
      <vt:lpstr>'GMIC_2020-Annu_SCDPT1'!SCDPT1_7699999_20</vt:lpstr>
      <vt:lpstr>'GMIC_2020-Annu_SCDPT1'!SCDPT1_7699999_7</vt:lpstr>
      <vt:lpstr>'GMIC_2020-Annu_SCDPT1'!SCDPT1_7699999_9</vt:lpstr>
      <vt:lpstr>'GMIC_2020-Annu_SCDPT1'!SCDPT1_7799999_10</vt:lpstr>
      <vt:lpstr>'GMIC_2020-Annu_SCDPT1'!SCDPT1_7799999_11</vt:lpstr>
      <vt:lpstr>'GMIC_2020-Annu_SCDPT1'!SCDPT1_7799999_12</vt:lpstr>
      <vt:lpstr>'GMIC_2020-Annu_SCDPT1'!SCDPT1_7799999_13</vt:lpstr>
      <vt:lpstr>'GMIC_2020-Annu_SCDPT1'!SCDPT1_7799999_14</vt:lpstr>
      <vt:lpstr>'GMIC_2020-Annu_SCDPT1'!SCDPT1_7799999_15</vt:lpstr>
      <vt:lpstr>'GMIC_2020-Annu_SCDPT1'!SCDPT1_7799999_19</vt:lpstr>
      <vt:lpstr>'GMIC_2020-Annu_SCDPT1'!SCDPT1_7799999_20</vt:lpstr>
      <vt:lpstr>'GMIC_2020-Annu_SCDPT1'!SCDPT1_7799999_7</vt:lpstr>
      <vt:lpstr>'GMIC_2020-Annu_SCDPT1'!SCDPT1_7799999_9</vt:lpstr>
      <vt:lpstr>'GMIC_2020-Annu_SCDPT1'!SCDPT1_7899999_10</vt:lpstr>
      <vt:lpstr>'GMIC_2020-Annu_SCDPT1'!SCDPT1_7899999_11</vt:lpstr>
      <vt:lpstr>'GMIC_2020-Annu_SCDPT1'!SCDPT1_7899999_12</vt:lpstr>
      <vt:lpstr>'GMIC_2020-Annu_SCDPT1'!SCDPT1_7899999_13</vt:lpstr>
      <vt:lpstr>'GMIC_2020-Annu_SCDPT1'!SCDPT1_7899999_14</vt:lpstr>
      <vt:lpstr>'GMIC_2020-Annu_SCDPT1'!SCDPT1_7899999_15</vt:lpstr>
      <vt:lpstr>'GMIC_2020-Annu_SCDPT1'!SCDPT1_7899999_19</vt:lpstr>
      <vt:lpstr>'GMIC_2020-Annu_SCDPT1'!SCDPT1_7899999_20</vt:lpstr>
      <vt:lpstr>'GMIC_2020-Annu_SCDPT1'!SCDPT1_7899999_7</vt:lpstr>
      <vt:lpstr>'GMIC_2020-Annu_SCDPT1'!SCDPT1_7899999_9</vt:lpstr>
      <vt:lpstr>'GMIC_2020-Annu_SCDPT1'!SCDPT1_7999999_10</vt:lpstr>
      <vt:lpstr>'GMIC_2020-Annu_SCDPT1'!SCDPT1_7999999_11</vt:lpstr>
      <vt:lpstr>'GMIC_2020-Annu_SCDPT1'!SCDPT1_7999999_12</vt:lpstr>
      <vt:lpstr>'GMIC_2020-Annu_SCDPT1'!SCDPT1_7999999_13</vt:lpstr>
      <vt:lpstr>'GMIC_2020-Annu_SCDPT1'!SCDPT1_7999999_14</vt:lpstr>
      <vt:lpstr>'GMIC_2020-Annu_SCDPT1'!SCDPT1_7999999_15</vt:lpstr>
      <vt:lpstr>'GMIC_2020-Annu_SCDPT1'!SCDPT1_7999999_19</vt:lpstr>
      <vt:lpstr>'GMIC_2020-Annu_SCDPT1'!SCDPT1_7999999_20</vt:lpstr>
      <vt:lpstr>'GMIC_2020-Annu_SCDPT1'!SCDPT1_7999999_7</vt:lpstr>
      <vt:lpstr>'GMIC_2020-Annu_SCDPT1'!SCDPT1_7999999_9</vt:lpstr>
      <vt:lpstr>'GMIC_2020-Annu_SCDPT1'!SCDPT1_8099999_10</vt:lpstr>
      <vt:lpstr>'GMIC_2020-Annu_SCDPT1'!SCDPT1_8099999_11</vt:lpstr>
      <vt:lpstr>'GMIC_2020-Annu_SCDPT1'!SCDPT1_8099999_12</vt:lpstr>
      <vt:lpstr>'GMIC_2020-Annu_SCDPT1'!SCDPT1_8099999_13</vt:lpstr>
      <vt:lpstr>'GMIC_2020-Annu_SCDPT1'!SCDPT1_8099999_14</vt:lpstr>
      <vt:lpstr>'GMIC_2020-Annu_SCDPT1'!SCDPT1_8099999_15</vt:lpstr>
      <vt:lpstr>'GMIC_2020-Annu_SCDPT1'!SCDPT1_8099999_19</vt:lpstr>
      <vt:lpstr>'GMIC_2020-Annu_SCDPT1'!SCDPT1_8099999_20</vt:lpstr>
      <vt:lpstr>'GMIC_2020-Annu_SCDPT1'!SCDPT1_8099999_7</vt:lpstr>
      <vt:lpstr>'GMIC_2020-Annu_SCDPT1'!SCDPT1_8099999_9</vt:lpstr>
      <vt:lpstr>'GMIC_2020-Annu_SCDPT1'!SCDPT1_8199999_10</vt:lpstr>
      <vt:lpstr>'GMIC_2020-Annu_SCDPT1'!SCDPT1_8199999_11</vt:lpstr>
      <vt:lpstr>'GMIC_2020-Annu_SCDPT1'!SCDPT1_8199999_12</vt:lpstr>
      <vt:lpstr>'GMIC_2020-Annu_SCDPT1'!SCDPT1_8199999_13</vt:lpstr>
      <vt:lpstr>'GMIC_2020-Annu_SCDPT1'!SCDPT1_8199999_14</vt:lpstr>
      <vt:lpstr>'GMIC_2020-Annu_SCDPT1'!SCDPT1_8199999_15</vt:lpstr>
      <vt:lpstr>'GMIC_2020-Annu_SCDPT1'!SCDPT1_8199999_19</vt:lpstr>
      <vt:lpstr>'GMIC_2020-Annu_SCDPT1'!SCDPT1_8199999_20</vt:lpstr>
      <vt:lpstr>'GMIC_2020-Annu_SCDPT1'!SCDPT1_8199999_7</vt:lpstr>
      <vt:lpstr>'GMIC_2020-Annu_SCDPT1'!SCDPT1_8199999_9</vt:lpstr>
      <vt:lpstr>'GMIC_2020-Annu_SCDPT1'!SCDPT1_8299999_10</vt:lpstr>
      <vt:lpstr>'GMIC_2020-Annu_SCDPT1'!SCDPT1_8299999_11</vt:lpstr>
      <vt:lpstr>'GMIC_2020-Annu_SCDPT1'!SCDPT1_8299999_12</vt:lpstr>
      <vt:lpstr>'GMIC_2020-Annu_SCDPT1'!SCDPT1_8299999_13</vt:lpstr>
      <vt:lpstr>'GMIC_2020-Annu_SCDPT1'!SCDPT1_8299999_14</vt:lpstr>
      <vt:lpstr>'GMIC_2020-Annu_SCDPT1'!SCDPT1_8299999_15</vt:lpstr>
      <vt:lpstr>'GMIC_2020-Annu_SCDPT1'!SCDPT1_8299999_19</vt:lpstr>
      <vt:lpstr>'GMIC_2020-Annu_SCDPT1'!SCDPT1_8299999_20</vt:lpstr>
      <vt:lpstr>'GMIC_2020-Annu_SCDPT1'!SCDPT1_8299999_7</vt:lpstr>
      <vt:lpstr>'GMIC_2020-Annu_SCDPT1'!SCDPT1_8299999_9</vt:lpstr>
      <vt:lpstr>'GMIC_2020-Annu_SCDPT1'!SCDPT1_8399999_10</vt:lpstr>
      <vt:lpstr>'GMIC_2020-Annu_SCDPT1'!SCDPT1_8399999_11</vt:lpstr>
      <vt:lpstr>'GMIC_2020-Annu_SCDPT1'!SCDPT1_8399999_12</vt:lpstr>
      <vt:lpstr>'GMIC_2020-Annu_SCDPT1'!SCDPT1_8399999_13</vt:lpstr>
      <vt:lpstr>'GMIC_2020-Annu_SCDPT1'!SCDPT1_8399999_14</vt:lpstr>
      <vt:lpstr>'GMIC_2020-Annu_SCDPT1'!SCDPT1_8399999_15</vt:lpstr>
      <vt:lpstr>'GMIC_2020-Annu_SCDPT1'!SCDPT1_8399999_19</vt:lpstr>
      <vt:lpstr>'GMIC_2020-Annu_SCDPT1'!SCDPT1_8399999_20</vt:lpstr>
      <vt:lpstr>'GMIC_2020-Annu_SCDPT1'!SCDPT1_8399999_7</vt:lpstr>
      <vt:lpstr>'GMIC_2020-Annu_SCDPT1'!SCDPT1_8399999_9</vt:lpstr>
      <vt:lpstr>'GMIC_2020-Annu_SCDPT2SN2'!SCDPT2SN2_9000000_Range</vt:lpstr>
      <vt:lpstr>'GMIC_2020-Annu_SCDPT2SN2'!SCDPT2SN2_9099999_10</vt:lpstr>
      <vt:lpstr>'GMIC_2020-Annu_SCDPT2SN2'!SCDPT2SN2_9099999_11</vt:lpstr>
      <vt:lpstr>'GMIC_2020-Annu_SCDPT2SN2'!SCDPT2SN2_9099999_12</vt:lpstr>
      <vt:lpstr>'GMIC_2020-Annu_SCDPT2SN2'!SCDPT2SN2_9099999_13</vt:lpstr>
      <vt:lpstr>'GMIC_2020-Annu_SCDPT2SN2'!SCDPT2SN2_9099999_14</vt:lpstr>
      <vt:lpstr>'GMIC_2020-Annu_SCDPT2SN2'!SCDPT2SN2_9099999_15</vt:lpstr>
      <vt:lpstr>'GMIC_2020-Annu_SCDPT2SN2'!SCDPT2SN2_9099999_16</vt:lpstr>
      <vt:lpstr>'GMIC_2020-Annu_SCDPT2SN2'!SCDPT2SN2_9099999_6</vt:lpstr>
      <vt:lpstr>'GMIC_2020-Annu_SCDPT2SN2'!SCDPT2SN2_9099999_8</vt:lpstr>
      <vt:lpstr>'GMIC_2020-Annu_SCDPT2SN2'!SCDPT2SN2_9099999_9</vt:lpstr>
      <vt:lpstr>'GMIC_2020-Annu_SCDPT2SN2'!SCDPT2SN2_90BEGIN_1</vt:lpstr>
      <vt:lpstr>'GMIC_2020-Annu_SCDPT2SN2'!SCDPT2SN2_90BEGIN_10</vt:lpstr>
      <vt:lpstr>'GMIC_2020-Annu_SCDPT2SN2'!SCDPT2SN2_90BEGIN_11</vt:lpstr>
      <vt:lpstr>'GMIC_2020-Annu_SCDPT2SN2'!SCDPT2SN2_90BEGIN_12</vt:lpstr>
      <vt:lpstr>'GMIC_2020-Annu_SCDPT2SN2'!SCDPT2SN2_90BEGIN_13</vt:lpstr>
      <vt:lpstr>'GMIC_2020-Annu_SCDPT2SN2'!SCDPT2SN2_90BEGIN_14</vt:lpstr>
      <vt:lpstr>'GMIC_2020-Annu_SCDPT2SN2'!SCDPT2SN2_90BEGIN_15</vt:lpstr>
      <vt:lpstr>'GMIC_2020-Annu_SCDPT2SN2'!SCDPT2SN2_90BEGIN_16</vt:lpstr>
      <vt:lpstr>'GMIC_2020-Annu_SCDPT2SN2'!SCDPT2SN2_90BEGIN_17</vt:lpstr>
      <vt:lpstr>'GMIC_2020-Annu_SCDPT2SN2'!SCDPT2SN2_90BEGIN_18.01</vt:lpstr>
      <vt:lpstr>'GMIC_2020-Annu_SCDPT2SN2'!SCDPT2SN2_90BEGIN_18.02</vt:lpstr>
      <vt:lpstr>'GMIC_2020-Annu_SCDPT2SN2'!SCDPT2SN2_90BEGIN_18.03</vt:lpstr>
      <vt:lpstr>'GMIC_2020-Annu_SCDPT2SN2'!SCDPT2SN2_90BEGIN_19</vt:lpstr>
      <vt:lpstr>'GMIC_2020-Annu_SCDPT2SN2'!SCDPT2SN2_90BEGIN_2</vt:lpstr>
      <vt:lpstr>'GMIC_2020-Annu_SCDPT2SN2'!SCDPT2SN2_90BEGIN_20</vt:lpstr>
      <vt:lpstr>'GMIC_2020-Annu_SCDPT2SN2'!SCDPT2SN2_90BEGIN_21</vt:lpstr>
      <vt:lpstr>'GMIC_2020-Annu_SCDPT2SN2'!SCDPT2SN2_90BEGIN_22</vt:lpstr>
      <vt:lpstr>'GMIC_2020-Annu_SCDPT2SN2'!SCDPT2SN2_90BEGIN_23</vt:lpstr>
      <vt:lpstr>'GMIC_2020-Annu_SCDPT2SN2'!SCDPT2SN2_90BEGIN_24</vt:lpstr>
      <vt:lpstr>'GMIC_2020-Annu_SCDPT2SN2'!SCDPT2SN2_90BEGIN_25</vt:lpstr>
      <vt:lpstr>'GMIC_2020-Annu_SCDPT2SN2'!SCDPT2SN2_90BEGIN_3</vt:lpstr>
      <vt:lpstr>'GMIC_2020-Annu_SCDPT2SN2'!SCDPT2SN2_90BEGIN_4</vt:lpstr>
      <vt:lpstr>'GMIC_2020-Annu_SCDPT2SN2'!SCDPT2SN2_90BEGIN_5</vt:lpstr>
      <vt:lpstr>'GMIC_2020-Annu_SCDPT2SN2'!SCDPT2SN2_90BEGIN_6</vt:lpstr>
      <vt:lpstr>'GMIC_2020-Annu_SCDPT2SN2'!SCDPT2SN2_90BEGIN_7</vt:lpstr>
      <vt:lpstr>'GMIC_2020-Annu_SCDPT2SN2'!SCDPT2SN2_90BEGIN_8</vt:lpstr>
      <vt:lpstr>'GMIC_2020-Annu_SCDPT2SN2'!SCDPT2SN2_90BEGIN_9</vt:lpstr>
      <vt:lpstr>'GMIC_2020-Annu_SCDPT2SN2'!SCDPT2SN2_90ENDIN_10</vt:lpstr>
      <vt:lpstr>'GMIC_2020-Annu_SCDPT2SN2'!SCDPT2SN2_90ENDIN_11</vt:lpstr>
      <vt:lpstr>'GMIC_2020-Annu_SCDPT2SN2'!SCDPT2SN2_90ENDIN_12</vt:lpstr>
      <vt:lpstr>'GMIC_2020-Annu_SCDPT2SN2'!SCDPT2SN2_90ENDIN_13</vt:lpstr>
      <vt:lpstr>'GMIC_2020-Annu_SCDPT2SN2'!SCDPT2SN2_90ENDIN_14</vt:lpstr>
      <vt:lpstr>'GMIC_2020-Annu_SCDPT2SN2'!SCDPT2SN2_90ENDIN_15</vt:lpstr>
      <vt:lpstr>'GMIC_2020-Annu_SCDPT2SN2'!SCDPT2SN2_90ENDIN_16</vt:lpstr>
      <vt:lpstr>'GMIC_2020-Annu_SCDPT2SN2'!SCDPT2SN2_90ENDIN_17</vt:lpstr>
      <vt:lpstr>'GMIC_2020-Annu_SCDPT2SN2'!SCDPT2SN2_90ENDIN_18.01</vt:lpstr>
      <vt:lpstr>'GMIC_2020-Annu_SCDPT2SN2'!SCDPT2SN2_90ENDIN_18.02</vt:lpstr>
      <vt:lpstr>'GMIC_2020-Annu_SCDPT2SN2'!SCDPT2SN2_90ENDIN_18.03</vt:lpstr>
      <vt:lpstr>'GMIC_2020-Annu_SCDPT2SN2'!SCDPT2SN2_90ENDIN_19</vt:lpstr>
      <vt:lpstr>'GMIC_2020-Annu_SCDPT2SN2'!SCDPT2SN2_90ENDIN_2</vt:lpstr>
      <vt:lpstr>'GMIC_2020-Annu_SCDPT2SN2'!SCDPT2SN2_90ENDIN_20</vt:lpstr>
      <vt:lpstr>'GMIC_2020-Annu_SCDPT2SN2'!SCDPT2SN2_90ENDIN_21</vt:lpstr>
      <vt:lpstr>'GMIC_2020-Annu_SCDPT2SN2'!SCDPT2SN2_90ENDIN_22</vt:lpstr>
      <vt:lpstr>'GMIC_2020-Annu_SCDPT2SN2'!SCDPT2SN2_90ENDIN_23</vt:lpstr>
      <vt:lpstr>'GMIC_2020-Annu_SCDPT2SN2'!SCDPT2SN2_90ENDIN_24</vt:lpstr>
      <vt:lpstr>'GMIC_2020-Annu_SCDPT2SN2'!SCDPT2SN2_90ENDIN_25</vt:lpstr>
      <vt:lpstr>'GMIC_2020-Annu_SCDPT2SN2'!SCDPT2SN2_90ENDIN_3</vt:lpstr>
      <vt:lpstr>'GMIC_2020-Annu_SCDPT2SN2'!SCDPT2SN2_90ENDIN_4</vt:lpstr>
      <vt:lpstr>'GMIC_2020-Annu_SCDPT2SN2'!SCDPT2SN2_90ENDIN_5</vt:lpstr>
      <vt:lpstr>'GMIC_2020-Annu_SCDPT2SN2'!SCDPT2SN2_90ENDIN_6</vt:lpstr>
      <vt:lpstr>'GMIC_2020-Annu_SCDPT2SN2'!SCDPT2SN2_90ENDIN_7</vt:lpstr>
      <vt:lpstr>'GMIC_2020-Annu_SCDPT2SN2'!SCDPT2SN2_90ENDIN_8</vt:lpstr>
      <vt:lpstr>'GMIC_2020-Annu_SCDPT2SN2'!SCDPT2SN2_90ENDIN_9</vt:lpstr>
      <vt:lpstr>'GMIC_2020-Annu_SCDPT2SN2'!SCDPT2SN2_9100000_Range</vt:lpstr>
      <vt:lpstr>'GMIC_2020-Annu_SCDPT2SN2'!SCDPT2SN2_9199999_10</vt:lpstr>
      <vt:lpstr>'GMIC_2020-Annu_SCDPT2SN2'!SCDPT2SN2_9199999_11</vt:lpstr>
      <vt:lpstr>'GMIC_2020-Annu_SCDPT2SN2'!SCDPT2SN2_9199999_12</vt:lpstr>
      <vt:lpstr>'GMIC_2020-Annu_SCDPT2SN2'!SCDPT2SN2_9199999_13</vt:lpstr>
      <vt:lpstr>'GMIC_2020-Annu_SCDPT2SN2'!SCDPT2SN2_9199999_14</vt:lpstr>
      <vt:lpstr>'GMIC_2020-Annu_SCDPT2SN2'!SCDPT2SN2_9199999_15</vt:lpstr>
      <vt:lpstr>'GMIC_2020-Annu_SCDPT2SN2'!SCDPT2SN2_9199999_16</vt:lpstr>
      <vt:lpstr>'GMIC_2020-Annu_SCDPT2SN2'!SCDPT2SN2_9199999_6</vt:lpstr>
      <vt:lpstr>'GMIC_2020-Annu_SCDPT2SN2'!SCDPT2SN2_9199999_8</vt:lpstr>
      <vt:lpstr>'GMIC_2020-Annu_SCDPT2SN2'!SCDPT2SN2_9199999_9</vt:lpstr>
      <vt:lpstr>'GMIC_2020-Annu_SCDPT2SN2'!SCDPT2SN2_91BEGIN_1</vt:lpstr>
      <vt:lpstr>'GMIC_2020-Annu_SCDPT2SN2'!SCDPT2SN2_91BEGIN_10</vt:lpstr>
      <vt:lpstr>'GMIC_2020-Annu_SCDPT2SN2'!SCDPT2SN2_91BEGIN_11</vt:lpstr>
      <vt:lpstr>'GMIC_2020-Annu_SCDPT2SN2'!SCDPT2SN2_91BEGIN_12</vt:lpstr>
      <vt:lpstr>'GMIC_2020-Annu_SCDPT2SN2'!SCDPT2SN2_91BEGIN_13</vt:lpstr>
      <vt:lpstr>'GMIC_2020-Annu_SCDPT2SN2'!SCDPT2SN2_91BEGIN_14</vt:lpstr>
      <vt:lpstr>'GMIC_2020-Annu_SCDPT2SN2'!SCDPT2SN2_91BEGIN_15</vt:lpstr>
      <vt:lpstr>'GMIC_2020-Annu_SCDPT2SN2'!SCDPT2SN2_91BEGIN_16</vt:lpstr>
      <vt:lpstr>'GMIC_2020-Annu_SCDPT2SN2'!SCDPT2SN2_91BEGIN_17</vt:lpstr>
      <vt:lpstr>'GMIC_2020-Annu_SCDPT2SN2'!SCDPT2SN2_91BEGIN_18.01</vt:lpstr>
      <vt:lpstr>'GMIC_2020-Annu_SCDPT2SN2'!SCDPT2SN2_91BEGIN_18.02</vt:lpstr>
      <vt:lpstr>'GMIC_2020-Annu_SCDPT2SN2'!SCDPT2SN2_91BEGIN_18.03</vt:lpstr>
      <vt:lpstr>'GMIC_2020-Annu_SCDPT2SN2'!SCDPT2SN2_91BEGIN_19</vt:lpstr>
      <vt:lpstr>'GMIC_2020-Annu_SCDPT2SN2'!SCDPT2SN2_91BEGIN_2</vt:lpstr>
      <vt:lpstr>'GMIC_2020-Annu_SCDPT2SN2'!SCDPT2SN2_91BEGIN_20</vt:lpstr>
      <vt:lpstr>'GMIC_2020-Annu_SCDPT2SN2'!SCDPT2SN2_91BEGIN_21</vt:lpstr>
      <vt:lpstr>'GMIC_2020-Annu_SCDPT2SN2'!SCDPT2SN2_91BEGIN_22</vt:lpstr>
      <vt:lpstr>'GMIC_2020-Annu_SCDPT2SN2'!SCDPT2SN2_91BEGIN_23</vt:lpstr>
      <vt:lpstr>'GMIC_2020-Annu_SCDPT2SN2'!SCDPT2SN2_91BEGIN_24</vt:lpstr>
      <vt:lpstr>'GMIC_2020-Annu_SCDPT2SN2'!SCDPT2SN2_91BEGIN_25</vt:lpstr>
      <vt:lpstr>'GMIC_2020-Annu_SCDPT2SN2'!SCDPT2SN2_91BEGIN_3</vt:lpstr>
      <vt:lpstr>'GMIC_2020-Annu_SCDPT2SN2'!SCDPT2SN2_91BEGIN_4</vt:lpstr>
      <vt:lpstr>'GMIC_2020-Annu_SCDPT2SN2'!SCDPT2SN2_91BEGIN_5</vt:lpstr>
      <vt:lpstr>'GMIC_2020-Annu_SCDPT2SN2'!SCDPT2SN2_91BEGIN_6</vt:lpstr>
      <vt:lpstr>'GMIC_2020-Annu_SCDPT2SN2'!SCDPT2SN2_91BEGIN_7</vt:lpstr>
      <vt:lpstr>'GMIC_2020-Annu_SCDPT2SN2'!SCDPT2SN2_91BEGIN_8</vt:lpstr>
      <vt:lpstr>'GMIC_2020-Annu_SCDPT2SN2'!SCDPT2SN2_91BEGIN_9</vt:lpstr>
      <vt:lpstr>'GMIC_2020-Annu_SCDPT2SN2'!SCDPT2SN2_91ENDIN_10</vt:lpstr>
      <vt:lpstr>'GMIC_2020-Annu_SCDPT2SN2'!SCDPT2SN2_91ENDIN_11</vt:lpstr>
      <vt:lpstr>'GMIC_2020-Annu_SCDPT2SN2'!SCDPT2SN2_91ENDIN_12</vt:lpstr>
      <vt:lpstr>'GMIC_2020-Annu_SCDPT2SN2'!SCDPT2SN2_91ENDIN_13</vt:lpstr>
      <vt:lpstr>'GMIC_2020-Annu_SCDPT2SN2'!SCDPT2SN2_91ENDIN_14</vt:lpstr>
      <vt:lpstr>'GMIC_2020-Annu_SCDPT2SN2'!SCDPT2SN2_91ENDIN_15</vt:lpstr>
      <vt:lpstr>'GMIC_2020-Annu_SCDPT2SN2'!SCDPT2SN2_91ENDIN_16</vt:lpstr>
      <vt:lpstr>'GMIC_2020-Annu_SCDPT2SN2'!SCDPT2SN2_91ENDIN_17</vt:lpstr>
      <vt:lpstr>'GMIC_2020-Annu_SCDPT2SN2'!SCDPT2SN2_91ENDIN_18.01</vt:lpstr>
      <vt:lpstr>'GMIC_2020-Annu_SCDPT2SN2'!SCDPT2SN2_91ENDIN_18.02</vt:lpstr>
      <vt:lpstr>'GMIC_2020-Annu_SCDPT2SN2'!SCDPT2SN2_91ENDIN_18.03</vt:lpstr>
      <vt:lpstr>'GMIC_2020-Annu_SCDPT2SN2'!SCDPT2SN2_91ENDIN_19</vt:lpstr>
      <vt:lpstr>'GMIC_2020-Annu_SCDPT2SN2'!SCDPT2SN2_91ENDIN_2</vt:lpstr>
      <vt:lpstr>'GMIC_2020-Annu_SCDPT2SN2'!SCDPT2SN2_91ENDIN_20</vt:lpstr>
      <vt:lpstr>'GMIC_2020-Annu_SCDPT2SN2'!SCDPT2SN2_91ENDIN_21</vt:lpstr>
      <vt:lpstr>'GMIC_2020-Annu_SCDPT2SN2'!SCDPT2SN2_91ENDIN_22</vt:lpstr>
      <vt:lpstr>'GMIC_2020-Annu_SCDPT2SN2'!SCDPT2SN2_91ENDIN_23</vt:lpstr>
      <vt:lpstr>'GMIC_2020-Annu_SCDPT2SN2'!SCDPT2SN2_91ENDIN_24</vt:lpstr>
      <vt:lpstr>'GMIC_2020-Annu_SCDPT2SN2'!SCDPT2SN2_91ENDIN_25</vt:lpstr>
      <vt:lpstr>'GMIC_2020-Annu_SCDPT2SN2'!SCDPT2SN2_91ENDIN_3</vt:lpstr>
      <vt:lpstr>'GMIC_2020-Annu_SCDPT2SN2'!SCDPT2SN2_91ENDIN_4</vt:lpstr>
      <vt:lpstr>'GMIC_2020-Annu_SCDPT2SN2'!SCDPT2SN2_91ENDIN_5</vt:lpstr>
      <vt:lpstr>'GMIC_2020-Annu_SCDPT2SN2'!SCDPT2SN2_91ENDIN_6</vt:lpstr>
      <vt:lpstr>'GMIC_2020-Annu_SCDPT2SN2'!SCDPT2SN2_91ENDIN_7</vt:lpstr>
      <vt:lpstr>'GMIC_2020-Annu_SCDPT2SN2'!SCDPT2SN2_91ENDIN_8</vt:lpstr>
      <vt:lpstr>'GMIC_2020-Annu_SCDPT2SN2'!SCDPT2SN2_91ENDIN_9</vt:lpstr>
      <vt:lpstr>'GMIC_2020-Annu_SCDPT2SN2'!SCDPT2SN2_9200000_Range</vt:lpstr>
      <vt:lpstr>'GMIC_2020-Annu_SCDPT2SN2'!SCDPT2SN2_9299999_10</vt:lpstr>
      <vt:lpstr>'GMIC_2020-Annu_SCDPT2SN2'!SCDPT2SN2_9299999_11</vt:lpstr>
      <vt:lpstr>'GMIC_2020-Annu_SCDPT2SN2'!SCDPT2SN2_9299999_12</vt:lpstr>
      <vt:lpstr>'GMIC_2020-Annu_SCDPT2SN2'!SCDPT2SN2_9299999_13</vt:lpstr>
      <vt:lpstr>'GMIC_2020-Annu_SCDPT2SN2'!SCDPT2SN2_9299999_14</vt:lpstr>
      <vt:lpstr>'GMIC_2020-Annu_SCDPT2SN2'!SCDPT2SN2_9299999_15</vt:lpstr>
      <vt:lpstr>'GMIC_2020-Annu_SCDPT2SN2'!SCDPT2SN2_9299999_16</vt:lpstr>
      <vt:lpstr>'GMIC_2020-Annu_SCDPT2SN2'!SCDPT2SN2_9299999_6</vt:lpstr>
      <vt:lpstr>'GMIC_2020-Annu_SCDPT2SN2'!SCDPT2SN2_9299999_8</vt:lpstr>
      <vt:lpstr>'GMIC_2020-Annu_SCDPT2SN2'!SCDPT2SN2_9299999_9</vt:lpstr>
      <vt:lpstr>'GMIC_2020-Annu_SCDPT2SN2'!SCDPT2SN2_92BEGIN_1</vt:lpstr>
      <vt:lpstr>'GMIC_2020-Annu_SCDPT2SN2'!SCDPT2SN2_92BEGIN_10</vt:lpstr>
      <vt:lpstr>'GMIC_2020-Annu_SCDPT2SN2'!SCDPT2SN2_92BEGIN_11</vt:lpstr>
      <vt:lpstr>'GMIC_2020-Annu_SCDPT2SN2'!SCDPT2SN2_92BEGIN_12</vt:lpstr>
      <vt:lpstr>'GMIC_2020-Annu_SCDPT2SN2'!SCDPT2SN2_92BEGIN_13</vt:lpstr>
      <vt:lpstr>'GMIC_2020-Annu_SCDPT2SN2'!SCDPT2SN2_92BEGIN_14</vt:lpstr>
      <vt:lpstr>'GMIC_2020-Annu_SCDPT2SN2'!SCDPT2SN2_92BEGIN_15</vt:lpstr>
      <vt:lpstr>'GMIC_2020-Annu_SCDPT2SN2'!SCDPT2SN2_92BEGIN_16</vt:lpstr>
      <vt:lpstr>'GMIC_2020-Annu_SCDPT2SN2'!SCDPT2SN2_92BEGIN_17</vt:lpstr>
      <vt:lpstr>'GMIC_2020-Annu_SCDPT2SN2'!SCDPT2SN2_92BEGIN_18.01</vt:lpstr>
      <vt:lpstr>'GMIC_2020-Annu_SCDPT2SN2'!SCDPT2SN2_92BEGIN_18.02</vt:lpstr>
      <vt:lpstr>'GMIC_2020-Annu_SCDPT2SN2'!SCDPT2SN2_92BEGIN_18.03</vt:lpstr>
      <vt:lpstr>'GMIC_2020-Annu_SCDPT2SN2'!SCDPT2SN2_92BEGIN_19</vt:lpstr>
      <vt:lpstr>'GMIC_2020-Annu_SCDPT2SN2'!SCDPT2SN2_92BEGIN_2</vt:lpstr>
      <vt:lpstr>'GMIC_2020-Annu_SCDPT2SN2'!SCDPT2SN2_92BEGIN_20</vt:lpstr>
      <vt:lpstr>'GMIC_2020-Annu_SCDPT2SN2'!SCDPT2SN2_92BEGIN_21</vt:lpstr>
      <vt:lpstr>'GMIC_2020-Annu_SCDPT2SN2'!SCDPT2SN2_92BEGIN_22</vt:lpstr>
      <vt:lpstr>'GMIC_2020-Annu_SCDPT2SN2'!SCDPT2SN2_92BEGIN_23</vt:lpstr>
      <vt:lpstr>'GMIC_2020-Annu_SCDPT2SN2'!SCDPT2SN2_92BEGIN_24</vt:lpstr>
      <vt:lpstr>'GMIC_2020-Annu_SCDPT2SN2'!SCDPT2SN2_92BEGIN_25</vt:lpstr>
      <vt:lpstr>'GMIC_2020-Annu_SCDPT2SN2'!SCDPT2SN2_92BEGIN_3</vt:lpstr>
      <vt:lpstr>'GMIC_2020-Annu_SCDPT2SN2'!SCDPT2SN2_92BEGIN_4</vt:lpstr>
      <vt:lpstr>'GMIC_2020-Annu_SCDPT2SN2'!SCDPT2SN2_92BEGIN_5</vt:lpstr>
      <vt:lpstr>'GMIC_2020-Annu_SCDPT2SN2'!SCDPT2SN2_92BEGIN_6</vt:lpstr>
      <vt:lpstr>'GMIC_2020-Annu_SCDPT2SN2'!SCDPT2SN2_92BEGIN_7</vt:lpstr>
      <vt:lpstr>'GMIC_2020-Annu_SCDPT2SN2'!SCDPT2SN2_92BEGIN_8</vt:lpstr>
      <vt:lpstr>'GMIC_2020-Annu_SCDPT2SN2'!SCDPT2SN2_92BEGIN_9</vt:lpstr>
      <vt:lpstr>'GMIC_2020-Annu_SCDPT2SN2'!SCDPT2SN2_92ENDIN_10</vt:lpstr>
      <vt:lpstr>'GMIC_2020-Annu_SCDPT2SN2'!SCDPT2SN2_92ENDIN_11</vt:lpstr>
      <vt:lpstr>'GMIC_2020-Annu_SCDPT2SN2'!SCDPT2SN2_92ENDIN_12</vt:lpstr>
      <vt:lpstr>'GMIC_2020-Annu_SCDPT2SN2'!SCDPT2SN2_92ENDIN_13</vt:lpstr>
      <vt:lpstr>'GMIC_2020-Annu_SCDPT2SN2'!SCDPT2SN2_92ENDIN_14</vt:lpstr>
      <vt:lpstr>'GMIC_2020-Annu_SCDPT2SN2'!SCDPT2SN2_92ENDIN_15</vt:lpstr>
      <vt:lpstr>'GMIC_2020-Annu_SCDPT2SN2'!SCDPT2SN2_92ENDIN_16</vt:lpstr>
      <vt:lpstr>'GMIC_2020-Annu_SCDPT2SN2'!SCDPT2SN2_92ENDIN_17</vt:lpstr>
      <vt:lpstr>'GMIC_2020-Annu_SCDPT2SN2'!SCDPT2SN2_92ENDIN_18.01</vt:lpstr>
      <vt:lpstr>'GMIC_2020-Annu_SCDPT2SN2'!SCDPT2SN2_92ENDIN_18.02</vt:lpstr>
      <vt:lpstr>'GMIC_2020-Annu_SCDPT2SN2'!SCDPT2SN2_92ENDIN_18.03</vt:lpstr>
      <vt:lpstr>'GMIC_2020-Annu_SCDPT2SN2'!SCDPT2SN2_92ENDIN_19</vt:lpstr>
      <vt:lpstr>'GMIC_2020-Annu_SCDPT2SN2'!SCDPT2SN2_92ENDIN_2</vt:lpstr>
      <vt:lpstr>'GMIC_2020-Annu_SCDPT2SN2'!SCDPT2SN2_92ENDIN_20</vt:lpstr>
      <vt:lpstr>'GMIC_2020-Annu_SCDPT2SN2'!SCDPT2SN2_92ENDIN_21</vt:lpstr>
      <vt:lpstr>'GMIC_2020-Annu_SCDPT2SN2'!SCDPT2SN2_92ENDIN_22</vt:lpstr>
      <vt:lpstr>'GMIC_2020-Annu_SCDPT2SN2'!SCDPT2SN2_92ENDIN_23</vt:lpstr>
      <vt:lpstr>'GMIC_2020-Annu_SCDPT2SN2'!SCDPT2SN2_92ENDIN_24</vt:lpstr>
      <vt:lpstr>'GMIC_2020-Annu_SCDPT2SN2'!SCDPT2SN2_92ENDIN_25</vt:lpstr>
      <vt:lpstr>'GMIC_2020-Annu_SCDPT2SN2'!SCDPT2SN2_92ENDIN_3</vt:lpstr>
      <vt:lpstr>'GMIC_2020-Annu_SCDPT2SN2'!SCDPT2SN2_92ENDIN_4</vt:lpstr>
      <vt:lpstr>'GMIC_2020-Annu_SCDPT2SN2'!SCDPT2SN2_92ENDIN_5</vt:lpstr>
      <vt:lpstr>'GMIC_2020-Annu_SCDPT2SN2'!SCDPT2SN2_92ENDIN_6</vt:lpstr>
      <vt:lpstr>'GMIC_2020-Annu_SCDPT2SN2'!SCDPT2SN2_92ENDIN_7</vt:lpstr>
      <vt:lpstr>'GMIC_2020-Annu_SCDPT2SN2'!SCDPT2SN2_92ENDIN_8</vt:lpstr>
      <vt:lpstr>'GMIC_2020-Annu_SCDPT2SN2'!SCDPT2SN2_92ENDIN_9</vt:lpstr>
      <vt:lpstr>'GMIC_2020-Annu_SCDPT2SN2'!SCDPT2SN2_9300000_Range</vt:lpstr>
      <vt:lpstr>'GMIC_2020-Annu_SCDPT2SN2'!SCDPT2SN2_9300001_1</vt:lpstr>
      <vt:lpstr>'GMIC_2020-Annu_SCDPT2SN2'!SCDPT2SN2_9300001_10</vt:lpstr>
      <vt:lpstr>'GMIC_2020-Annu_SCDPT2SN2'!SCDPT2SN2_9300001_11</vt:lpstr>
      <vt:lpstr>'GMIC_2020-Annu_SCDPT2SN2'!SCDPT2SN2_9300001_12</vt:lpstr>
      <vt:lpstr>'GMIC_2020-Annu_SCDPT2SN2'!SCDPT2SN2_9300001_13</vt:lpstr>
      <vt:lpstr>'GMIC_2020-Annu_SCDPT2SN2'!SCDPT2SN2_9300001_14</vt:lpstr>
      <vt:lpstr>'GMIC_2020-Annu_SCDPT2SN2'!SCDPT2SN2_9300001_15</vt:lpstr>
      <vt:lpstr>'GMIC_2020-Annu_SCDPT2SN2'!SCDPT2SN2_9300001_16</vt:lpstr>
      <vt:lpstr>'GMIC_2020-Annu_SCDPT2SN2'!SCDPT2SN2_9300001_17</vt:lpstr>
      <vt:lpstr>'GMIC_2020-Annu_SCDPT2SN2'!SCDPT2SN2_9300001_19</vt:lpstr>
      <vt:lpstr>'GMIC_2020-Annu_SCDPT2SN2'!SCDPT2SN2_9300001_2</vt:lpstr>
      <vt:lpstr>'GMIC_2020-Annu_SCDPT2SN2'!SCDPT2SN2_9300001_20</vt:lpstr>
      <vt:lpstr>'GMIC_2020-Annu_SCDPT2SN2'!SCDPT2SN2_9300001_21</vt:lpstr>
      <vt:lpstr>'GMIC_2020-Annu_SCDPT2SN2'!SCDPT2SN2_9300001_22</vt:lpstr>
      <vt:lpstr>'GMIC_2020-Annu_SCDPT2SN2'!SCDPT2SN2_9300001_23</vt:lpstr>
      <vt:lpstr>'GMIC_2020-Annu_SCDPT2SN2'!SCDPT2SN2_9300001_24</vt:lpstr>
      <vt:lpstr>'GMIC_2020-Annu_SCDPT2SN2'!SCDPT2SN2_9300001_3</vt:lpstr>
      <vt:lpstr>'GMIC_2020-Annu_SCDPT2SN2'!SCDPT2SN2_9300001_4</vt:lpstr>
      <vt:lpstr>'GMIC_2020-Annu_SCDPT2SN2'!SCDPT2SN2_9300001_5</vt:lpstr>
      <vt:lpstr>'GMIC_2020-Annu_SCDPT2SN2'!SCDPT2SN2_9300001_6</vt:lpstr>
      <vt:lpstr>'GMIC_2020-Annu_SCDPT2SN2'!SCDPT2SN2_9300001_7</vt:lpstr>
      <vt:lpstr>'GMIC_2020-Annu_SCDPT2SN2'!SCDPT2SN2_9300001_8</vt:lpstr>
      <vt:lpstr>'GMIC_2020-Annu_SCDPT2SN2'!SCDPT2SN2_9300001_9</vt:lpstr>
      <vt:lpstr>'GMIC_2020-Annu_SCDPT2SN2'!SCDPT2SN2_9399999_10</vt:lpstr>
      <vt:lpstr>'GMIC_2020-Annu_SCDPT2SN2'!SCDPT2SN2_9399999_11</vt:lpstr>
      <vt:lpstr>'GMIC_2020-Annu_SCDPT2SN2'!SCDPT2SN2_9399999_12</vt:lpstr>
      <vt:lpstr>'GMIC_2020-Annu_SCDPT2SN2'!SCDPT2SN2_9399999_13</vt:lpstr>
      <vt:lpstr>'GMIC_2020-Annu_SCDPT2SN2'!SCDPT2SN2_9399999_14</vt:lpstr>
      <vt:lpstr>'GMIC_2020-Annu_SCDPT2SN2'!SCDPT2SN2_9399999_15</vt:lpstr>
      <vt:lpstr>'GMIC_2020-Annu_SCDPT2SN2'!SCDPT2SN2_9399999_16</vt:lpstr>
      <vt:lpstr>'GMIC_2020-Annu_SCDPT2SN2'!SCDPT2SN2_9399999_6</vt:lpstr>
      <vt:lpstr>'GMIC_2020-Annu_SCDPT2SN2'!SCDPT2SN2_9399999_8</vt:lpstr>
      <vt:lpstr>'GMIC_2020-Annu_SCDPT2SN2'!SCDPT2SN2_9399999_9</vt:lpstr>
      <vt:lpstr>'GMIC_2020-Annu_SCDPT2SN2'!SCDPT2SN2_93BEGIN_1</vt:lpstr>
      <vt:lpstr>'GMIC_2020-Annu_SCDPT2SN2'!SCDPT2SN2_93BEGIN_10</vt:lpstr>
      <vt:lpstr>'GMIC_2020-Annu_SCDPT2SN2'!SCDPT2SN2_93BEGIN_11</vt:lpstr>
      <vt:lpstr>'GMIC_2020-Annu_SCDPT2SN2'!SCDPT2SN2_93BEGIN_12</vt:lpstr>
      <vt:lpstr>'GMIC_2020-Annu_SCDPT2SN2'!SCDPT2SN2_93BEGIN_13</vt:lpstr>
      <vt:lpstr>'GMIC_2020-Annu_SCDPT2SN2'!SCDPT2SN2_93BEGIN_14</vt:lpstr>
      <vt:lpstr>'GMIC_2020-Annu_SCDPT2SN2'!SCDPT2SN2_93BEGIN_15</vt:lpstr>
      <vt:lpstr>'GMIC_2020-Annu_SCDPT2SN2'!SCDPT2SN2_93BEGIN_16</vt:lpstr>
      <vt:lpstr>'GMIC_2020-Annu_SCDPT2SN2'!SCDPT2SN2_93BEGIN_17</vt:lpstr>
      <vt:lpstr>'GMIC_2020-Annu_SCDPT2SN2'!SCDPT2SN2_93BEGIN_18.01</vt:lpstr>
      <vt:lpstr>'GMIC_2020-Annu_SCDPT2SN2'!SCDPT2SN2_93BEGIN_18.02</vt:lpstr>
      <vt:lpstr>'GMIC_2020-Annu_SCDPT2SN2'!SCDPT2SN2_93BEGIN_18.03</vt:lpstr>
      <vt:lpstr>'GMIC_2020-Annu_SCDPT2SN2'!SCDPT2SN2_93BEGIN_19</vt:lpstr>
      <vt:lpstr>'GMIC_2020-Annu_SCDPT2SN2'!SCDPT2SN2_93BEGIN_2</vt:lpstr>
      <vt:lpstr>'GMIC_2020-Annu_SCDPT2SN2'!SCDPT2SN2_93BEGIN_20</vt:lpstr>
      <vt:lpstr>'GMIC_2020-Annu_SCDPT2SN2'!SCDPT2SN2_93BEGIN_21</vt:lpstr>
      <vt:lpstr>'GMIC_2020-Annu_SCDPT2SN2'!SCDPT2SN2_93BEGIN_22</vt:lpstr>
      <vt:lpstr>'GMIC_2020-Annu_SCDPT2SN2'!SCDPT2SN2_93BEGIN_23</vt:lpstr>
      <vt:lpstr>'GMIC_2020-Annu_SCDPT2SN2'!SCDPT2SN2_93BEGIN_24</vt:lpstr>
      <vt:lpstr>'GMIC_2020-Annu_SCDPT2SN2'!SCDPT2SN2_93BEGIN_25</vt:lpstr>
      <vt:lpstr>'GMIC_2020-Annu_SCDPT2SN2'!SCDPT2SN2_93BEGIN_3</vt:lpstr>
      <vt:lpstr>'GMIC_2020-Annu_SCDPT2SN2'!SCDPT2SN2_93BEGIN_4</vt:lpstr>
      <vt:lpstr>'GMIC_2020-Annu_SCDPT2SN2'!SCDPT2SN2_93BEGIN_5</vt:lpstr>
      <vt:lpstr>'GMIC_2020-Annu_SCDPT2SN2'!SCDPT2SN2_93BEGIN_6</vt:lpstr>
      <vt:lpstr>'GMIC_2020-Annu_SCDPT2SN2'!SCDPT2SN2_93BEGIN_7</vt:lpstr>
      <vt:lpstr>'GMIC_2020-Annu_SCDPT2SN2'!SCDPT2SN2_93BEGIN_8</vt:lpstr>
      <vt:lpstr>'GMIC_2020-Annu_SCDPT2SN2'!SCDPT2SN2_93BEGIN_9</vt:lpstr>
      <vt:lpstr>'GMIC_2020-Annu_SCDPT2SN2'!SCDPT2SN2_93ENDIN_10</vt:lpstr>
      <vt:lpstr>'GMIC_2020-Annu_SCDPT2SN2'!SCDPT2SN2_93ENDIN_11</vt:lpstr>
      <vt:lpstr>'GMIC_2020-Annu_SCDPT2SN2'!SCDPT2SN2_93ENDIN_12</vt:lpstr>
      <vt:lpstr>'GMIC_2020-Annu_SCDPT2SN2'!SCDPT2SN2_93ENDIN_13</vt:lpstr>
      <vt:lpstr>'GMIC_2020-Annu_SCDPT2SN2'!SCDPT2SN2_93ENDIN_14</vt:lpstr>
      <vt:lpstr>'GMIC_2020-Annu_SCDPT2SN2'!SCDPT2SN2_93ENDIN_15</vt:lpstr>
      <vt:lpstr>'GMIC_2020-Annu_SCDPT2SN2'!SCDPT2SN2_93ENDIN_16</vt:lpstr>
      <vt:lpstr>'GMIC_2020-Annu_SCDPT2SN2'!SCDPT2SN2_93ENDIN_17</vt:lpstr>
      <vt:lpstr>'GMIC_2020-Annu_SCDPT2SN2'!SCDPT2SN2_93ENDIN_18.01</vt:lpstr>
      <vt:lpstr>'GMIC_2020-Annu_SCDPT2SN2'!SCDPT2SN2_93ENDIN_18.02</vt:lpstr>
      <vt:lpstr>'GMIC_2020-Annu_SCDPT2SN2'!SCDPT2SN2_93ENDIN_18.03</vt:lpstr>
      <vt:lpstr>'GMIC_2020-Annu_SCDPT2SN2'!SCDPT2SN2_93ENDIN_19</vt:lpstr>
      <vt:lpstr>'GMIC_2020-Annu_SCDPT2SN2'!SCDPT2SN2_93ENDIN_2</vt:lpstr>
      <vt:lpstr>'GMIC_2020-Annu_SCDPT2SN2'!SCDPT2SN2_93ENDIN_20</vt:lpstr>
      <vt:lpstr>'GMIC_2020-Annu_SCDPT2SN2'!SCDPT2SN2_93ENDIN_21</vt:lpstr>
      <vt:lpstr>'GMIC_2020-Annu_SCDPT2SN2'!SCDPT2SN2_93ENDIN_22</vt:lpstr>
      <vt:lpstr>'GMIC_2020-Annu_SCDPT2SN2'!SCDPT2SN2_93ENDIN_23</vt:lpstr>
      <vt:lpstr>'GMIC_2020-Annu_SCDPT2SN2'!SCDPT2SN2_93ENDIN_24</vt:lpstr>
      <vt:lpstr>'GMIC_2020-Annu_SCDPT2SN2'!SCDPT2SN2_93ENDIN_25</vt:lpstr>
      <vt:lpstr>'GMIC_2020-Annu_SCDPT2SN2'!SCDPT2SN2_93ENDIN_3</vt:lpstr>
      <vt:lpstr>'GMIC_2020-Annu_SCDPT2SN2'!SCDPT2SN2_93ENDIN_4</vt:lpstr>
      <vt:lpstr>'GMIC_2020-Annu_SCDPT2SN2'!SCDPT2SN2_93ENDIN_5</vt:lpstr>
      <vt:lpstr>'GMIC_2020-Annu_SCDPT2SN2'!SCDPT2SN2_93ENDIN_6</vt:lpstr>
      <vt:lpstr>'GMIC_2020-Annu_SCDPT2SN2'!SCDPT2SN2_93ENDIN_7</vt:lpstr>
      <vt:lpstr>'GMIC_2020-Annu_SCDPT2SN2'!SCDPT2SN2_93ENDIN_8</vt:lpstr>
      <vt:lpstr>'GMIC_2020-Annu_SCDPT2SN2'!SCDPT2SN2_93ENDIN_9</vt:lpstr>
      <vt:lpstr>'GMIC_2020-Annu_SCDPT2SN2'!SCDPT2SN2_9400000_Range</vt:lpstr>
      <vt:lpstr>'GMIC_2020-Annu_SCDPT2SN2'!SCDPT2SN2_9499999_10</vt:lpstr>
      <vt:lpstr>'GMIC_2020-Annu_SCDPT2SN2'!SCDPT2SN2_9499999_11</vt:lpstr>
      <vt:lpstr>'GMIC_2020-Annu_SCDPT2SN2'!SCDPT2SN2_9499999_12</vt:lpstr>
      <vt:lpstr>'GMIC_2020-Annu_SCDPT2SN2'!SCDPT2SN2_9499999_13</vt:lpstr>
      <vt:lpstr>'GMIC_2020-Annu_SCDPT2SN2'!SCDPT2SN2_9499999_14</vt:lpstr>
      <vt:lpstr>'GMIC_2020-Annu_SCDPT2SN2'!SCDPT2SN2_9499999_15</vt:lpstr>
      <vt:lpstr>'GMIC_2020-Annu_SCDPT2SN2'!SCDPT2SN2_9499999_16</vt:lpstr>
      <vt:lpstr>'GMIC_2020-Annu_SCDPT2SN2'!SCDPT2SN2_9499999_6</vt:lpstr>
      <vt:lpstr>'GMIC_2020-Annu_SCDPT2SN2'!SCDPT2SN2_9499999_8</vt:lpstr>
      <vt:lpstr>'GMIC_2020-Annu_SCDPT2SN2'!SCDPT2SN2_9499999_9</vt:lpstr>
      <vt:lpstr>'GMIC_2020-Annu_SCDPT2SN2'!SCDPT2SN2_94BEGIN_1</vt:lpstr>
      <vt:lpstr>'GMIC_2020-Annu_SCDPT2SN2'!SCDPT2SN2_94BEGIN_10</vt:lpstr>
      <vt:lpstr>'GMIC_2020-Annu_SCDPT2SN2'!SCDPT2SN2_94BEGIN_11</vt:lpstr>
      <vt:lpstr>'GMIC_2020-Annu_SCDPT2SN2'!SCDPT2SN2_94BEGIN_12</vt:lpstr>
      <vt:lpstr>'GMIC_2020-Annu_SCDPT2SN2'!SCDPT2SN2_94BEGIN_13</vt:lpstr>
      <vt:lpstr>'GMIC_2020-Annu_SCDPT2SN2'!SCDPT2SN2_94BEGIN_14</vt:lpstr>
      <vt:lpstr>'GMIC_2020-Annu_SCDPT2SN2'!SCDPT2SN2_94BEGIN_15</vt:lpstr>
      <vt:lpstr>'GMIC_2020-Annu_SCDPT2SN2'!SCDPT2SN2_94BEGIN_16</vt:lpstr>
      <vt:lpstr>'GMIC_2020-Annu_SCDPT2SN2'!SCDPT2SN2_94BEGIN_17</vt:lpstr>
      <vt:lpstr>'GMIC_2020-Annu_SCDPT2SN2'!SCDPT2SN2_94BEGIN_18.01</vt:lpstr>
      <vt:lpstr>'GMIC_2020-Annu_SCDPT2SN2'!SCDPT2SN2_94BEGIN_18.02</vt:lpstr>
      <vt:lpstr>'GMIC_2020-Annu_SCDPT2SN2'!SCDPT2SN2_94BEGIN_18.03</vt:lpstr>
      <vt:lpstr>'GMIC_2020-Annu_SCDPT2SN2'!SCDPT2SN2_94BEGIN_19</vt:lpstr>
      <vt:lpstr>'GMIC_2020-Annu_SCDPT2SN2'!SCDPT2SN2_94BEGIN_2</vt:lpstr>
      <vt:lpstr>'GMIC_2020-Annu_SCDPT2SN2'!SCDPT2SN2_94BEGIN_20</vt:lpstr>
      <vt:lpstr>'GMIC_2020-Annu_SCDPT2SN2'!SCDPT2SN2_94BEGIN_21</vt:lpstr>
      <vt:lpstr>'GMIC_2020-Annu_SCDPT2SN2'!SCDPT2SN2_94BEGIN_22</vt:lpstr>
      <vt:lpstr>'GMIC_2020-Annu_SCDPT2SN2'!SCDPT2SN2_94BEGIN_23</vt:lpstr>
      <vt:lpstr>'GMIC_2020-Annu_SCDPT2SN2'!SCDPT2SN2_94BEGIN_24</vt:lpstr>
      <vt:lpstr>'GMIC_2020-Annu_SCDPT2SN2'!SCDPT2SN2_94BEGIN_25</vt:lpstr>
      <vt:lpstr>'GMIC_2020-Annu_SCDPT2SN2'!SCDPT2SN2_94BEGIN_3</vt:lpstr>
      <vt:lpstr>'GMIC_2020-Annu_SCDPT2SN2'!SCDPT2SN2_94BEGIN_4</vt:lpstr>
      <vt:lpstr>'GMIC_2020-Annu_SCDPT2SN2'!SCDPT2SN2_94BEGIN_5</vt:lpstr>
      <vt:lpstr>'GMIC_2020-Annu_SCDPT2SN2'!SCDPT2SN2_94BEGIN_6</vt:lpstr>
      <vt:lpstr>'GMIC_2020-Annu_SCDPT2SN2'!SCDPT2SN2_94BEGIN_7</vt:lpstr>
      <vt:lpstr>'GMIC_2020-Annu_SCDPT2SN2'!SCDPT2SN2_94BEGIN_8</vt:lpstr>
      <vt:lpstr>'GMIC_2020-Annu_SCDPT2SN2'!SCDPT2SN2_94BEGIN_9</vt:lpstr>
      <vt:lpstr>'GMIC_2020-Annu_SCDPT2SN2'!SCDPT2SN2_94ENDIN_10</vt:lpstr>
      <vt:lpstr>'GMIC_2020-Annu_SCDPT2SN2'!SCDPT2SN2_94ENDIN_11</vt:lpstr>
      <vt:lpstr>'GMIC_2020-Annu_SCDPT2SN2'!SCDPT2SN2_94ENDIN_12</vt:lpstr>
      <vt:lpstr>'GMIC_2020-Annu_SCDPT2SN2'!SCDPT2SN2_94ENDIN_13</vt:lpstr>
      <vt:lpstr>'GMIC_2020-Annu_SCDPT2SN2'!SCDPT2SN2_94ENDIN_14</vt:lpstr>
      <vt:lpstr>'GMIC_2020-Annu_SCDPT2SN2'!SCDPT2SN2_94ENDIN_15</vt:lpstr>
      <vt:lpstr>'GMIC_2020-Annu_SCDPT2SN2'!SCDPT2SN2_94ENDIN_16</vt:lpstr>
      <vt:lpstr>'GMIC_2020-Annu_SCDPT2SN2'!SCDPT2SN2_94ENDIN_17</vt:lpstr>
      <vt:lpstr>'GMIC_2020-Annu_SCDPT2SN2'!SCDPT2SN2_94ENDIN_18.01</vt:lpstr>
      <vt:lpstr>'GMIC_2020-Annu_SCDPT2SN2'!SCDPT2SN2_94ENDIN_18.02</vt:lpstr>
      <vt:lpstr>'GMIC_2020-Annu_SCDPT2SN2'!SCDPT2SN2_94ENDIN_18.03</vt:lpstr>
      <vt:lpstr>'GMIC_2020-Annu_SCDPT2SN2'!SCDPT2SN2_94ENDIN_19</vt:lpstr>
      <vt:lpstr>'GMIC_2020-Annu_SCDPT2SN2'!SCDPT2SN2_94ENDIN_2</vt:lpstr>
      <vt:lpstr>'GMIC_2020-Annu_SCDPT2SN2'!SCDPT2SN2_94ENDIN_20</vt:lpstr>
      <vt:lpstr>'GMIC_2020-Annu_SCDPT2SN2'!SCDPT2SN2_94ENDIN_21</vt:lpstr>
      <vt:lpstr>'GMIC_2020-Annu_SCDPT2SN2'!SCDPT2SN2_94ENDIN_22</vt:lpstr>
      <vt:lpstr>'GMIC_2020-Annu_SCDPT2SN2'!SCDPT2SN2_94ENDIN_23</vt:lpstr>
      <vt:lpstr>'GMIC_2020-Annu_SCDPT2SN2'!SCDPT2SN2_94ENDIN_24</vt:lpstr>
      <vt:lpstr>'GMIC_2020-Annu_SCDPT2SN2'!SCDPT2SN2_94ENDIN_25</vt:lpstr>
      <vt:lpstr>'GMIC_2020-Annu_SCDPT2SN2'!SCDPT2SN2_94ENDIN_3</vt:lpstr>
      <vt:lpstr>'GMIC_2020-Annu_SCDPT2SN2'!SCDPT2SN2_94ENDIN_4</vt:lpstr>
      <vt:lpstr>'GMIC_2020-Annu_SCDPT2SN2'!SCDPT2SN2_94ENDIN_5</vt:lpstr>
      <vt:lpstr>'GMIC_2020-Annu_SCDPT2SN2'!SCDPT2SN2_94ENDIN_6</vt:lpstr>
      <vt:lpstr>'GMIC_2020-Annu_SCDPT2SN2'!SCDPT2SN2_94ENDIN_7</vt:lpstr>
      <vt:lpstr>'GMIC_2020-Annu_SCDPT2SN2'!SCDPT2SN2_94ENDIN_8</vt:lpstr>
      <vt:lpstr>'GMIC_2020-Annu_SCDPT2SN2'!SCDPT2SN2_94ENDIN_9</vt:lpstr>
      <vt:lpstr>'GMIC_2020-Annu_SCDPT2SN2'!SCDPT2SN2_9500000_Range</vt:lpstr>
      <vt:lpstr>'GMIC_2020-Annu_SCDPT2SN2'!SCDPT2SN2_9599999_10</vt:lpstr>
      <vt:lpstr>'GMIC_2020-Annu_SCDPT2SN2'!SCDPT2SN2_9599999_11</vt:lpstr>
      <vt:lpstr>'GMIC_2020-Annu_SCDPT2SN2'!SCDPT2SN2_9599999_12</vt:lpstr>
      <vt:lpstr>'GMIC_2020-Annu_SCDPT2SN2'!SCDPT2SN2_9599999_13</vt:lpstr>
      <vt:lpstr>'GMIC_2020-Annu_SCDPT2SN2'!SCDPT2SN2_9599999_14</vt:lpstr>
      <vt:lpstr>'GMIC_2020-Annu_SCDPT2SN2'!SCDPT2SN2_9599999_15</vt:lpstr>
      <vt:lpstr>'GMIC_2020-Annu_SCDPT2SN2'!SCDPT2SN2_9599999_16</vt:lpstr>
      <vt:lpstr>'GMIC_2020-Annu_SCDPT2SN2'!SCDPT2SN2_9599999_6</vt:lpstr>
      <vt:lpstr>'GMIC_2020-Annu_SCDPT2SN2'!SCDPT2SN2_9599999_8</vt:lpstr>
      <vt:lpstr>'GMIC_2020-Annu_SCDPT2SN2'!SCDPT2SN2_9599999_9</vt:lpstr>
      <vt:lpstr>'GMIC_2020-Annu_SCDPT2SN2'!SCDPT2SN2_95BEGIN_1</vt:lpstr>
      <vt:lpstr>'GMIC_2020-Annu_SCDPT2SN2'!SCDPT2SN2_95BEGIN_10</vt:lpstr>
      <vt:lpstr>'GMIC_2020-Annu_SCDPT2SN2'!SCDPT2SN2_95BEGIN_11</vt:lpstr>
      <vt:lpstr>'GMIC_2020-Annu_SCDPT2SN2'!SCDPT2SN2_95BEGIN_12</vt:lpstr>
      <vt:lpstr>'GMIC_2020-Annu_SCDPT2SN2'!SCDPT2SN2_95BEGIN_13</vt:lpstr>
      <vt:lpstr>'GMIC_2020-Annu_SCDPT2SN2'!SCDPT2SN2_95BEGIN_14</vt:lpstr>
      <vt:lpstr>'GMIC_2020-Annu_SCDPT2SN2'!SCDPT2SN2_95BEGIN_15</vt:lpstr>
      <vt:lpstr>'GMIC_2020-Annu_SCDPT2SN2'!SCDPT2SN2_95BEGIN_16</vt:lpstr>
      <vt:lpstr>'GMIC_2020-Annu_SCDPT2SN2'!SCDPT2SN2_95BEGIN_17</vt:lpstr>
      <vt:lpstr>'GMIC_2020-Annu_SCDPT2SN2'!SCDPT2SN2_95BEGIN_18.01</vt:lpstr>
      <vt:lpstr>'GMIC_2020-Annu_SCDPT2SN2'!SCDPT2SN2_95BEGIN_18.02</vt:lpstr>
      <vt:lpstr>'GMIC_2020-Annu_SCDPT2SN2'!SCDPT2SN2_95BEGIN_18.03</vt:lpstr>
      <vt:lpstr>'GMIC_2020-Annu_SCDPT2SN2'!SCDPT2SN2_95BEGIN_19</vt:lpstr>
      <vt:lpstr>'GMIC_2020-Annu_SCDPT2SN2'!SCDPT2SN2_95BEGIN_2</vt:lpstr>
      <vt:lpstr>'GMIC_2020-Annu_SCDPT2SN2'!SCDPT2SN2_95BEGIN_20</vt:lpstr>
      <vt:lpstr>'GMIC_2020-Annu_SCDPT2SN2'!SCDPT2SN2_95BEGIN_21</vt:lpstr>
      <vt:lpstr>'GMIC_2020-Annu_SCDPT2SN2'!SCDPT2SN2_95BEGIN_22</vt:lpstr>
      <vt:lpstr>'GMIC_2020-Annu_SCDPT2SN2'!SCDPT2SN2_95BEGIN_23</vt:lpstr>
      <vt:lpstr>'GMIC_2020-Annu_SCDPT2SN2'!SCDPT2SN2_95BEGIN_24</vt:lpstr>
      <vt:lpstr>'GMIC_2020-Annu_SCDPT2SN2'!SCDPT2SN2_95BEGIN_25</vt:lpstr>
      <vt:lpstr>'GMIC_2020-Annu_SCDPT2SN2'!SCDPT2SN2_95BEGIN_3</vt:lpstr>
      <vt:lpstr>'GMIC_2020-Annu_SCDPT2SN2'!SCDPT2SN2_95BEGIN_4</vt:lpstr>
      <vt:lpstr>'GMIC_2020-Annu_SCDPT2SN2'!SCDPT2SN2_95BEGIN_5</vt:lpstr>
      <vt:lpstr>'GMIC_2020-Annu_SCDPT2SN2'!SCDPT2SN2_95BEGIN_6</vt:lpstr>
      <vt:lpstr>'GMIC_2020-Annu_SCDPT2SN2'!SCDPT2SN2_95BEGIN_7</vt:lpstr>
      <vt:lpstr>'GMIC_2020-Annu_SCDPT2SN2'!SCDPT2SN2_95BEGIN_8</vt:lpstr>
      <vt:lpstr>'GMIC_2020-Annu_SCDPT2SN2'!SCDPT2SN2_95BEGIN_9</vt:lpstr>
      <vt:lpstr>'GMIC_2020-Annu_SCDPT2SN2'!SCDPT2SN2_95ENDIN_10</vt:lpstr>
      <vt:lpstr>'GMIC_2020-Annu_SCDPT2SN2'!SCDPT2SN2_95ENDIN_11</vt:lpstr>
      <vt:lpstr>'GMIC_2020-Annu_SCDPT2SN2'!SCDPT2SN2_95ENDIN_12</vt:lpstr>
      <vt:lpstr>'GMIC_2020-Annu_SCDPT2SN2'!SCDPT2SN2_95ENDIN_13</vt:lpstr>
      <vt:lpstr>'GMIC_2020-Annu_SCDPT2SN2'!SCDPT2SN2_95ENDIN_14</vt:lpstr>
      <vt:lpstr>'GMIC_2020-Annu_SCDPT2SN2'!SCDPT2SN2_95ENDIN_15</vt:lpstr>
      <vt:lpstr>'GMIC_2020-Annu_SCDPT2SN2'!SCDPT2SN2_95ENDIN_16</vt:lpstr>
      <vt:lpstr>'GMIC_2020-Annu_SCDPT2SN2'!SCDPT2SN2_95ENDIN_17</vt:lpstr>
      <vt:lpstr>'GMIC_2020-Annu_SCDPT2SN2'!SCDPT2SN2_95ENDIN_18.01</vt:lpstr>
      <vt:lpstr>'GMIC_2020-Annu_SCDPT2SN2'!SCDPT2SN2_95ENDIN_18.02</vt:lpstr>
      <vt:lpstr>'GMIC_2020-Annu_SCDPT2SN2'!SCDPT2SN2_95ENDIN_18.03</vt:lpstr>
      <vt:lpstr>'GMIC_2020-Annu_SCDPT2SN2'!SCDPT2SN2_95ENDIN_19</vt:lpstr>
      <vt:lpstr>'GMIC_2020-Annu_SCDPT2SN2'!SCDPT2SN2_95ENDIN_2</vt:lpstr>
      <vt:lpstr>'GMIC_2020-Annu_SCDPT2SN2'!SCDPT2SN2_95ENDIN_20</vt:lpstr>
      <vt:lpstr>'GMIC_2020-Annu_SCDPT2SN2'!SCDPT2SN2_95ENDIN_21</vt:lpstr>
      <vt:lpstr>'GMIC_2020-Annu_SCDPT2SN2'!SCDPT2SN2_95ENDIN_22</vt:lpstr>
      <vt:lpstr>'GMIC_2020-Annu_SCDPT2SN2'!SCDPT2SN2_95ENDIN_23</vt:lpstr>
      <vt:lpstr>'GMIC_2020-Annu_SCDPT2SN2'!SCDPT2SN2_95ENDIN_24</vt:lpstr>
      <vt:lpstr>'GMIC_2020-Annu_SCDPT2SN2'!SCDPT2SN2_95ENDIN_25</vt:lpstr>
      <vt:lpstr>'GMIC_2020-Annu_SCDPT2SN2'!SCDPT2SN2_95ENDIN_3</vt:lpstr>
      <vt:lpstr>'GMIC_2020-Annu_SCDPT2SN2'!SCDPT2SN2_95ENDIN_4</vt:lpstr>
      <vt:lpstr>'GMIC_2020-Annu_SCDPT2SN2'!SCDPT2SN2_95ENDIN_5</vt:lpstr>
      <vt:lpstr>'GMIC_2020-Annu_SCDPT2SN2'!SCDPT2SN2_95ENDIN_6</vt:lpstr>
      <vt:lpstr>'GMIC_2020-Annu_SCDPT2SN2'!SCDPT2SN2_95ENDIN_7</vt:lpstr>
      <vt:lpstr>'GMIC_2020-Annu_SCDPT2SN2'!SCDPT2SN2_95ENDIN_8</vt:lpstr>
      <vt:lpstr>'GMIC_2020-Annu_SCDPT2SN2'!SCDPT2SN2_95ENDIN_9</vt:lpstr>
      <vt:lpstr>'GMIC_2020-Annu_SCDPT2SN2'!SCDPT2SN2_9600000_Range</vt:lpstr>
      <vt:lpstr>'GMIC_2020-Annu_SCDPT2SN2'!SCDPT2SN2_9699999_10</vt:lpstr>
      <vt:lpstr>'GMIC_2020-Annu_SCDPT2SN2'!SCDPT2SN2_9699999_11</vt:lpstr>
      <vt:lpstr>'GMIC_2020-Annu_SCDPT2SN2'!SCDPT2SN2_9699999_12</vt:lpstr>
      <vt:lpstr>'GMIC_2020-Annu_SCDPT2SN2'!SCDPT2SN2_9699999_13</vt:lpstr>
      <vt:lpstr>'GMIC_2020-Annu_SCDPT2SN2'!SCDPT2SN2_9699999_14</vt:lpstr>
      <vt:lpstr>'GMIC_2020-Annu_SCDPT2SN2'!SCDPT2SN2_9699999_15</vt:lpstr>
      <vt:lpstr>'GMIC_2020-Annu_SCDPT2SN2'!SCDPT2SN2_9699999_16</vt:lpstr>
      <vt:lpstr>'GMIC_2020-Annu_SCDPT2SN2'!SCDPT2SN2_9699999_6</vt:lpstr>
      <vt:lpstr>'GMIC_2020-Annu_SCDPT2SN2'!SCDPT2SN2_9699999_8</vt:lpstr>
      <vt:lpstr>'GMIC_2020-Annu_SCDPT2SN2'!SCDPT2SN2_9699999_9</vt:lpstr>
      <vt:lpstr>'GMIC_2020-Annu_SCDPT2SN2'!SCDPT2SN2_96BEGIN_1</vt:lpstr>
      <vt:lpstr>'GMIC_2020-Annu_SCDPT2SN2'!SCDPT2SN2_96BEGIN_10</vt:lpstr>
      <vt:lpstr>'GMIC_2020-Annu_SCDPT2SN2'!SCDPT2SN2_96BEGIN_11</vt:lpstr>
      <vt:lpstr>'GMIC_2020-Annu_SCDPT2SN2'!SCDPT2SN2_96BEGIN_12</vt:lpstr>
      <vt:lpstr>'GMIC_2020-Annu_SCDPT2SN2'!SCDPT2SN2_96BEGIN_13</vt:lpstr>
      <vt:lpstr>'GMIC_2020-Annu_SCDPT2SN2'!SCDPT2SN2_96BEGIN_14</vt:lpstr>
      <vt:lpstr>'GMIC_2020-Annu_SCDPT2SN2'!SCDPT2SN2_96BEGIN_15</vt:lpstr>
      <vt:lpstr>'GMIC_2020-Annu_SCDPT2SN2'!SCDPT2SN2_96BEGIN_16</vt:lpstr>
      <vt:lpstr>'GMIC_2020-Annu_SCDPT2SN2'!SCDPT2SN2_96BEGIN_17</vt:lpstr>
      <vt:lpstr>'GMIC_2020-Annu_SCDPT2SN2'!SCDPT2SN2_96BEGIN_18.01</vt:lpstr>
      <vt:lpstr>'GMIC_2020-Annu_SCDPT2SN2'!SCDPT2SN2_96BEGIN_18.02</vt:lpstr>
      <vt:lpstr>'GMIC_2020-Annu_SCDPT2SN2'!SCDPT2SN2_96BEGIN_18.03</vt:lpstr>
      <vt:lpstr>'GMIC_2020-Annu_SCDPT2SN2'!SCDPT2SN2_96BEGIN_19</vt:lpstr>
      <vt:lpstr>'GMIC_2020-Annu_SCDPT2SN2'!SCDPT2SN2_96BEGIN_2</vt:lpstr>
      <vt:lpstr>'GMIC_2020-Annu_SCDPT2SN2'!SCDPT2SN2_96BEGIN_20</vt:lpstr>
      <vt:lpstr>'GMIC_2020-Annu_SCDPT2SN2'!SCDPT2SN2_96BEGIN_21</vt:lpstr>
      <vt:lpstr>'GMIC_2020-Annu_SCDPT2SN2'!SCDPT2SN2_96BEGIN_22</vt:lpstr>
      <vt:lpstr>'GMIC_2020-Annu_SCDPT2SN2'!SCDPT2SN2_96BEGIN_23</vt:lpstr>
      <vt:lpstr>'GMIC_2020-Annu_SCDPT2SN2'!SCDPT2SN2_96BEGIN_24</vt:lpstr>
      <vt:lpstr>'GMIC_2020-Annu_SCDPT2SN2'!SCDPT2SN2_96BEGIN_25</vt:lpstr>
      <vt:lpstr>'GMIC_2020-Annu_SCDPT2SN2'!SCDPT2SN2_96BEGIN_3</vt:lpstr>
      <vt:lpstr>'GMIC_2020-Annu_SCDPT2SN2'!SCDPT2SN2_96BEGIN_4</vt:lpstr>
      <vt:lpstr>'GMIC_2020-Annu_SCDPT2SN2'!SCDPT2SN2_96BEGIN_5</vt:lpstr>
      <vt:lpstr>'GMIC_2020-Annu_SCDPT2SN2'!SCDPT2SN2_96BEGIN_6</vt:lpstr>
      <vt:lpstr>'GMIC_2020-Annu_SCDPT2SN2'!SCDPT2SN2_96BEGIN_7</vt:lpstr>
      <vt:lpstr>'GMIC_2020-Annu_SCDPT2SN2'!SCDPT2SN2_96BEGIN_8</vt:lpstr>
      <vt:lpstr>'GMIC_2020-Annu_SCDPT2SN2'!SCDPT2SN2_96BEGIN_9</vt:lpstr>
      <vt:lpstr>'GMIC_2020-Annu_SCDPT2SN2'!SCDPT2SN2_96ENDIN_10</vt:lpstr>
      <vt:lpstr>'GMIC_2020-Annu_SCDPT2SN2'!SCDPT2SN2_96ENDIN_11</vt:lpstr>
      <vt:lpstr>'GMIC_2020-Annu_SCDPT2SN2'!SCDPT2SN2_96ENDIN_12</vt:lpstr>
      <vt:lpstr>'GMIC_2020-Annu_SCDPT2SN2'!SCDPT2SN2_96ENDIN_13</vt:lpstr>
      <vt:lpstr>'GMIC_2020-Annu_SCDPT2SN2'!SCDPT2SN2_96ENDIN_14</vt:lpstr>
      <vt:lpstr>'GMIC_2020-Annu_SCDPT2SN2'!SCDPT2SN2_96ENDIN_15</vt:lpstr>
      <vt:lpstr>'GMIC_2020-Annu_SCDPT2SN2'!SCDPT2SN2_96ENDIN_16</vt:lpstr>
      <vt:lpstr>'GMIC_2020-Annu_SCDPT2SN2'!SCDPT2SN2_96ENDIN_17</vt:lpstr>
      <vt:lpstr>'GMIC_2020-Annu_SCDPT2SN2'!SCDPT2SN2_96ENDIN_18.01</vt:lpstr>
      <vt:lpstr>'GMIC_2020-Annu_SCDPT2SN2'!SCDPT2SN2_96ENDIN_18.02</vt:lpstr>
      <vt:lpstr>'GMIC_2020-Annu_SCDPT2SN2'!SCDPT2SN2_96ENDIN_18.03</vt:lpstr>
      <vt:lpstr>'GMIC_2020-Annu_SCDPT2SN2'!SCDPT2SN2_96ENDIN_19</vt:lpstr>
      <vt:lpstr>'GMIC_2020-Annu_SCDPT2SN2'!SCDPT2SN2_96ENDIN_2</vt:lpstr>
      <vt:lpstr>'GMIC_2020-Annu_SCDPT2SN2'!SCDPT2SN2_96ENDIN_20</vt:lpstr>
      <vt:lpstr>'GMIC_2020-Annu_SCDPT2SN2'!SCDPT2SN2_96ENDIN_21</vt:lpstr>
      <vt:lpstr>'GMIC_2020-Annu_SCDPT2SN2'!SCDPT2SN2_96ENDIN_22</vt:lpstr>
      <vt:lpstr>'GMIC_2020-Annu_SCDPT2SN2'!SCDPT2SN2_96ENDIN_23</vt:lpstr>
      <vt:lpstr>'GMIC_2020-Annu_SCDPT2SN2'!SCDPT2SN2_96ENDIN_24</vt:lpstr>
      <vt:lpstr>'GMIC_2020-Annu_SCDPT2SN2'!SCDPT2SN2_96ENDIN_25</vt:lpstr>
      <vt:lpstr>'GMIC_2020-Annu_SCDPT2SN2'!SCDPT2SN2_96ENDIN_3</vt:lpstr>
      <vt:lpstr>'GMIC_2020-Annu_SCDPT2SN2'!SCDPT2SN2_96ENDIN_4</vt:lpstr>
      <vt:lpstr>'GMIC_2020-Annu_SCDPT2SN2'!SCDPT2SN2_96ENDIN_5</vt:lpstr>
      <vt:lpstr>'GMIC_2020-Annu_SCDPT2SN2'!SCDPT2SN2_96ENDIN_6</vt:lpstr>
      <vt:lpstr>'GMIC_2020-Annu_SCDPT2SN2'!SCDPT2SN2_96ENDIN_7</vt:lpstr>
      <vt:lpstr>'GMIC_2020-Annu_SCDPT2SN2'!SCDPT2SN2_96ENDIN_8</vt:lpstr>
      <vt:lpstr>'GMIC_2020-Annu_SCDPT2SN2'!SCDPT2SN2_96ENDIN_9</vt:lpstr>
      <vt:lpstr>'GMIC_2020-Annu_SCDPT2SN2'!SCDPT2SN2_9799999_10</vt:lpstr>
      <vt:lpstr>'GMIC_2020-Annu_SCDPT2SN2'!SCDPT2SN2_9799999_11</vt:lpstr>
      <vt:lpstr>'GMIC_2020-Annu_SCDPT2SN2'!SCDPT2SN2_9799999_12</vt:lpstr>
      <vt:lpstr>'GMIC_2020-Annu_SCDPT2SN2'!SCDPT2SN2_9799999_13</vt:lpstr>
      <vt:lpstr>'GMIC_2020-Annu_SCDPT2SN2'!SCDPT2SN2_9799999_14</vt:lpstr>
      <vt:lpstr>'GMIC_2020-Annu_SCDPT2SN2'!SCDPT2SN2_9799999_15</vt:lpstr>
      <vt:lpstr>'GMIC_2020-Annu_SCDPT2SN2'!SCDPT2SN2_9799999_16</vt:lpstr>
      <vt:lpstr>'GMIC_2020-Annu_SCDPT2SN2'!SCDPT2SN2_9799999_6</vt:lpstr>
      <vt:lpstr>'GMIC_2020-Annu_SCDPT2SN2'!SCDPT2SN2_9799999_8</vt:lpstr>
      <vt:lpstr>'GMIC_2020-Annu_SCDPT2SN2'!SCDPT2SN2_9799999_9</vt:lpstr>
      <vt:lpstr>'GMIC_2020-Annu_SCDPT2SN2'!SCDPT2SN2_9899999_10</vt:lpstr>
      <vt:lpstr>'GMIC_2020-Annu_SCDPT2SN2'!SCDPT2SN2_9899999_11</vt:lpstr>
      <vt:lpstr>'GMIC_2020-Annu_SCDPT2SN2'!SCDPT2SN2_9899999_12</vt:lpstr>
      <vt:lpstr>'GMIC_2020-Annu_SCDPT2SN2'!SCDPT2SN2_9899999_13</vt:lpstr>
      <vt:lpstr>'GMIC_2020-Annu_SCDPT2SN2'!SCDPT2SN2_9899999_14</vt:lpstr>
      <vt:lpstr>'GMIC_2020-Annu_SCDPT2SN2'!SCDPT2SN2_9899999_15</vt:lpstr>
      <vt:lpstr>'GMIC_2020-Annu_SCDPT2SN2'!SCDPT2SN2_9899999_16</vt:lpstr>
      <vt:lpstr>'GMIC_2020-Annu_SCDPT2SN2'!SCDPT2SN2_9899999_6</vt:lpstr>
      <vt:lpstr>'GMIC_2020-Annu_SCDPT2SN2'!SCDPT2SN2_9899999_8</vt:lpstr>
      <vt:lpstr>'GMIC_2020-Annu_SCDPT2SN2'!SCDPT2SN2_9899999_9</vt:lpstr>
      <vt:lpstr>'GMIC_2020-Annu_SCDPT3'!SCDPT3_0500000_Range</vt:lpstr>
      <vt:lpstr>'GMIC_2020-Annu_SCDPT3'!SCDPT3_0500001_1</vt:lpstr>
      <vt:lpstr>'GMIC_2020-Annu_SCDPT3'!SCDPT3_0500001_11</vt:lpstr>
      <vt:lpstr>'GMIC_2020-Annu_SCDPT3'!SCDPT3_0500001_12</vt:lpstr>
      <vt:lpstr>'GMIC_2020-Annu_SCDPT3'!SCDPT3_0500001_13</vt:lpstr>
      <vt:lpstr>'GMIC_2020-Annu_SCDPT3'!SCDPT3_0500001_14</vt:lpstr>
      <vt:lpstr>'GMIC_2020-Annu_SCDPT3'!SCDPT3_0500001_2</vt:lpstr>
      <vt:lpstr>'GMIC_2020-Annu_SCDPT3'!SCDPT3_0500001_3</vt:lpstr>
      <vt:lpstr>'GMIC_2020-Annu_SCDPT3'!SCDPT3_0500001_4</vt:lpstr>
      <vt:lpstr>'GMIC_2020-Annu_SCDPT3'!SCDPT3_0500001_5</vt:lpstr>
      <vt:lpstr>'GMIC_2020-Annu_SCDPT3'!SCDPT3_0500001_7</vt:lpstr>
      <vt:lpstr>'GMIC_2020-Annu_SCDPT3'!SCDPT3_0500001_8</vt:lpstr>
      <vt:lpstr>'GMIC_2020-Annu_SCDPT3'!SCDPT3_0500001_9</vt:lpstr>
      <vt:lpstr>'GMIC_2020-Annu_SCDPT3'!SCDPT3_0599999_7</vt:lpstr>
      <vt:lpstr>'GMIC_2020-Annu_SCDPT3'!SCDPT3_0599999_8</vt:lpstr>
      <vt:lpstr>'GMIC_2020-Annu_SCDPT3'!SCDPT3_0599999_9</vt:lpstr>
      <vt:lpstr>'GMIC_2020-Annu_SCDPT3'!SCDPT3_05BEGIN_1</vt:lpstr>
      <vt:lpstr>'GMIC_2020-Annu_SCDPT3'!SCDPT3_05BEGIN_10</vt:lpstr>
      <vt:lpstr>'GMIC_2020-Annu_SCDPT3'!SCDPT3_05BEGIN_11</vt:lpstr>
      <vt:lpstr>'GMIC_2020-Annu_SCDPT3'!SCDPT3_05BEGIN_12</vt:lpstr>
      <vt:lpstr>'GMIC_2020-Annu_SCDPT3'!SCDPT3_05BEGIN_13</vt:lpstr>
      <vt:lpstr>'GMIC_2020-Annu_SCDPT3'!SCDPT3_05BEGIN_14</vt:lpstr>
      <vt:lpstr>'GMIC_2020-Annu_SCDPT3'!SCDPT3_05BEGIN_2</vt:lpstr>
      <vt:lpstr>'GMIC_2020-Annu_SCDPT3'!SCDPT3_05BEGIN_3</vt:lpstr>
      <vt:lpstr>'GMIC_2020-Annu_SCDPT3'!SCDPT3_05BEGIN_4</vt:lpstr>
      <vt:lpstr>'GMIC_2020-Annu_SCDPT3'!SCDPT3_05BEGIN_5</vt:lpstr>
      <vt:lpstr>'GMIC_2020-Annu_SCDPT3'!SCDPT3_05BEGIN_6</vt:lpstr>
      <vt:lpstr>'GMIC_2020-Annu_SCDPT3'!SCDPT3_05BEGIN_7</vt:lpstr>
      <vt:lpstr>'GMIC_2020-Annu_SCDPT3'!SCDPT3_05BEGIN_8</vt:lpstr>
      <vt:lpstr>'GMIC_2020-Annu_SCDPT3'!SCDPT3_05BEGIN_9</vt:lpstr>
      <vt:lpstr>'GMIC_2020-Annu_SCDPT3'!SCDPT3_05ENDIN_10</vt:lpstr>
      <vt:lpstr>'GMIC_2020-Annu_SCDPT3'!SCDPT3_05ENDIN_11</vt:lpstr>
      <vt:lpstr>'GMIC_2020-Annu_SCDPT3'!SCDPT3_05ENDIN_12</vt:lpstr>
      <vt:lpstr>'GMIC_2020-Annu_SCDPT3'!SCDPT3_05ENDIN_13</vt:lpstr>
      <vt:lpstr>'GMIC_2020-Annu_SCDPT3'!SCDPT3_05ENDIN_14</vt:lpstr>
      <vt:lpstr>'GMIC_2020-Annu_SCDPT3'!SCDPT3_05ENDIN_2</vt:lpstr>
      <vt:lpstr>'GMIC_2020-Annu_SCDPT3'!SCDPT3_05ENDIN_3</vt:lpstr>
      <vt:lpstr>'GMIC_2020-Annu_SCDPT3'!SCDPT3_05ENDIN_4</vt:lpstr>
      <vt:lpstr>'GMIC_2020-Annu_SCDPT3'!SCDPT3_05ENDIN_5</vt:lpstr>
      <vt:lpstr>'GMIC_2020-Annu_SCDPT3'!SCDPT3_05ENDIN_6</vt:lpstr>
      <vt:lpstr>'GMIC_2020-Annu_SCDPT3'!SCDPT3_05ENDIN_7</vt:lpstr>
      <vt:lpstr>'GMIC_2020-Annu_SCDPT3'!SCDPT3_05ENDIN_8</vt:lpstr>
      <vt:lpstr>'GMIC_2020-Annu_SCDPT3'!SCDPT3_05ENDIN_9</vt:lpstr>
      <vt:lpstr>'GMIC_2020-Annu_SCDPT3'!SCDPT3_1000000_Range</vt:lpstr>
      <vt:lpstr>'GMIC_2020-Annu_SCDPT3'!SCDPT3_1099999_7</vt:lpstr>
      <vt:lpstr>'GMIC_2020-Annu_SCDPT3'!SCDPT3_1099999_8</vt:lpstr>
      <vt:lpstr>'GMIC_2020-Annu_SCDPT3'!SCDPT3_1099999_9</vt:lpstr>
      <vt:lpstr>'GMIC_2020-Annu_SCDPT3'!SCDPT3_10BEGIN_1</vt:lpstr>
      <vt:lpstr>'GMIC_2020-Annu_SCDPT3'!SCDPT3_10BEGIN_10</vt:lpstr>
      <vt:lpstr>'GMIC_2020-Annu_SCDPT3'!SCDPT3_10BEGIN_11</vt:lpstr>
      <vt:lpstr>'GMIC_2020-Annu_SCDPT3'!SCDPT3_10BEGIN_12</vt:lpstr>
      <vt:lpstr>'GMIC_2020-Annu_SCDPT3'!SCDPT3_10BEGIN_13</vt:lpstr>
      <vt:lpstr>'GMIC_2020-Annu_SCDPT3'!SCDPT3_10BEGIN_14</vt:lpstr>
      <vt:lpstr>'GMIC_2020-Annu_SCDPT3'!SCDPT3_10BEGIN_2</vt:lpstr>
      <vt:lpstr>'GMIC_2020-Annu_SCDPT3'!SCDPT3_10BEGIN_3</vt:lpstr>
      <vt:lpstr>'GMIC_2020-Annu_SCDPT3'!SCDPT3_10BEGIN_4</vt:lpstr>
      <vt:lpstr>'GMIC_2020-Annu_SCDPT3'!SCDPT3_10BEGIN_5</vt:lpstr>
      <vt:lpstr>'GMIC_2020-Annu_SCDPT3'!SCDPT3_10BEGIN_6</vt:lpstr>
      <vt:lpstr>'GMIC_2020-Annu_SCDPT3'!SCDPT3_10BEGIN_7</vt:lpstr>
      <vt:lpstr>'GMIC_2020-Annu_SCDPT3'!SCDPT3_10BEGIN_8</vt:lpstr>
      <vt:lpstr>'GMIC_2020-Annu_SCDPT3'!SCDPT3_10BEGIN_9</vt:lpstr>
      <vt:lpstr>'GMIC_2020-Annu_SCDPT3'!SCDPT3_10ENDIN_10</vt:lpstr>
      <vt:lpstr>'GMIC_2020-Annu_SCDPT3'!SCDPT3_10ENDIN_11</vt:lpstr>
      <vt:lpstr>'GMIC_2020-Annu_SCDPT3'!SCDPT3_10ENDIN_12</vt:lpstr>
      <vt:lpstr>'GMIC_2020-Annu_SCDPT3'!SCDPT3_10ENDIN_13</vt:lpstr>
      <vt:lpstr>'GMIC_2020-Annu_SCDPT3'!SCDPT3_10ENDIN_14</vt:lpstr>
      <vt:lpstr>'GMIC_2020-Annu_SCDPT3'!SCDPT3_10ENDIN_2</vt:lpstr>
      <vt:lpstr>'GMIC_2020-Annu_SCDPT3'!SCDPT3_10ENDIN_3</vt:lpstr>
      <vt:lpstr>'GMIC_2020-Annu_SCDPT3'!SCDPT3_10ENDIN_4</vt:lpstr>
      <vt:lpstr>'GMIC_2020-Annu_SCDPT3'!SCDPT3_10ENDIN_5</vt:lpstr>
      <vt:lpstr>'GMIC_2020-Annu_SCDPT3'!SCDPT3_10ENDIN_6</vt:lpstr>
      <vt:lpstr>'GMIC_2020-Annu_SCDPT3'!SCDPT3_10ENDIN_7</vt:lpstr>
      <vt:lpstr>'GMIC_2020-Annu_SCDPT3'!SCDPT3_10ENDIN_8</vt:lpstr>
      <vt:lpstr>'GMIC_2020-Annu_SCDPT3'!SCDPT3_10ENDIN_9</vt:lpstr>
      <vt:lpstr>'GMIC_2020-Annu_SCDPT3'!SCDPT3_1700000_Range</vt:lpstr>
      <vt:lpstr>'GMIC_2020-Annu_SCDPT3'!SCDPT3_1700001_1</vt:lpstr>
      <vt:lpstr>'GMIC_2020-Annu_SCDPT3'!SCDPT3_1700001_10</vt:lpstr>
      <vt:lpstr>'GMIC_2020-Annu_SCDPT3'!SCDPT3_1700001_11</vt:lpstr>
      <vt:lpstr>'GMIC_2020-Annu_SCDPT3'!SCDPT3_1700001_12</vt:lpstr>
      <vt:lpstr>'GMIC_2020-Annu_SCDPT3'!SCDPT3_1700001_13</vt:lpstr>
      <vt:lpstr>'GMIC_2020-Annu_SCDPT3'!SCDPT3_1700001_14</vt:lpstr>
      <vt:lpstr>'GMIC_2020-Annu_SCDPT3'!SCDPT3_1700001_2</vt:lpstr>
      <vt:lpstr>'GMIC_2020-Annu_SCDPT3'!SCDPT3_1700001_3</vt:lpstr>
      <vt:lpstr>'GMIC_2020-Annu_SCDPT3'!SCDPT3_1700001_4</vt:lpstr>
      <vt:lpstr>'GMIC_2020-Annu_SCDPT3'!SCDPT3_1700001_5</vt:lpstr>
      <vt:lpstr>'GMIC_2020-Annu_SCDPT3'!SCDPT3_1700001_7</vt:lpstr>
      <vt:lpstr>'GMIC_2020-Annu_SCDPT3'!SCDPT3_1700001_8</vt:lpstr>
      <vt:lpstr>'GMIC_2020-Annu_SCDPT3'!SCDPT3_1700001_9</vt:lpstr>
      <vt:lpstr>'GMIC_2020-Annu_SCDPT3'!SCDPT3_1799999_7</vt:lpstr>
      <vt:lpstr>'GMIC_2020-Annu_SCDPT3'!SCDPT3_1799999_8</vt:lpstr>
      <vt:lpstr>'GMIC_2020-Annu_SCDPT3'!SCDPT3_1799999_9</vt:lpstr>
      <vt:lpstr>'GMIC_2020-Annu_SCDPT3'!SCDPT3_17BEGIN_1</vt:lpstr>
      <vt:lpstr>'GMIC_2020-Annu_SCDPT3'!SCDPT3_17BEGIN_10</vt:lpstr>
      <vt:lpstr>'GMIC_2020-Annu_SCDPT3'!SCDPT3_17BEGIN_11</vt:lpstr>
      <vt:lpstr>'GMIC_2020-Annu_SCDPT3'!SCDPT3_17BEGIN_12</vt:lpstr>
      <vt:lpstr>'GMIC_2020-Annu_SCDPT3'!SCDPT3_17BEGIN_13</vt:lpstr>
      <vt:lpstr>'GMIC_2020-Annu_SCDPT3'!SCDPT3_17BEGIN_14</vt:lpstr>
      <vt:lpstr>'GMIC_2020-Annu_SCDPT3'!SCDPT3_17BEGIN_2</vt:lpstr>
      <vt:lpstr>'GMIC_2020-Annu_SCDPT3'!SCDPT3_17BEGIN_3</vt:lpstr>
      <vt:lpstr>'GMIC_2020-Annu_SCDPT3'!SCDPT3_17BEGIN_4</vt:lpstr>
      <vt:lpstr>'GMIC_2020-Annu_SCDPT3'!SCDPT3_17BEGIN_5</vt:lpstr>
      <vt:lpstr>'GMIC_2020-Annu_SCDPT3'!SCDPT3_17BEGIN_6</vt:lpstr>
      <vt:lpstr>'GMIC_2020-Annu_SCDPT3'!SCDPT3_17BEGIN_7</vt:lpstr>
      <vt:lpstr>'GMIC_2020-Annu_SCDPT3'!SCDPT3_17BEGIN_8</vt:lpstr>
      <vt:lpstr>'GMIC_2020-Annu_SCDPT3'!SCDPT3_17BEGIN_9</vt:lpstr>
      <vt:lpstr>'GMIC_2020-Annu_SCDPT3'!SCDPT3_17ENDIN_10</vt:lpstr>
      <vt:lpstr>'GMIC_2020-Annu_SCDPT3'!SCDPT3_17ENDIN_11</vt:lpstr>
      <vt:lpstr>'GMIC_2020-Annu_SCDPT3'!SCDPT3_17ENDIN_12</vt:lpstr>
      <vt:lpstr>'GMIC_2020-Annu_SCDPT3'!SCDPT3_17ENDIN_13</vt:lpstr>
      <vt:lpstr>'GMIC_2020-Annu_SCDPT3'!SCDPT3_17ENDIN_14</vt:lpstr>
      <vt:lpstr>'GMIC_2020-Annu_SCDPT3'!SCDPT3_17ENDIN_2</vt:lpstr>
      <vt:lpstr>'GMIC_2020-Annu_SCDPT3'!SCDPT3_17ENDIN_3</vt:lpstr>
      <vt:lpstr>'GMIC_2020-Annu_SCDPT3'!SCDPT3_17ENDIN_4</vt:lpstr>
      <vt:lpstr>'GMIC_2020-Annu_SCDPT3'!SCDPT3_17ENDIN_5</vt:lpstr>
      <vt:lpstr>'GMIC_2020-Annu_SCDPT3'!SCDPT3_17ENDIN_6</vt:lpstr>
      <vt:lpstr>'GMIC_2020-Annu_SCDPT3'!SCDPT3_17ENDIN_7</vt:lpstr>
      <vt:lpstr>'GMIC_2020-Annu_SCDPT3'!SCDPT3_17ENDIN_8</vt:lpstr>
      <vt:lpstr>'GMIC_2020-Annu_SCDPT3'!SCDPT3_17ENDIN_9</vt:lpstr>
      <vt:lpstr>'GMIC_2020-Annu_SCDPT3'!SCDPT3_2400000_Range</vt:lpstr>
      <vt:lpstr>'GMIC_2020-Annu_SCDPT3'!SCDPT3_2499999_7</vt:lpstr>
      <vt:lpstr>'GMIC_2020-Annu_SCDPT3'!SCDPT3_2499999_8</vt:lpstr>
      <vt:lpstr>'GMIC_2020-Annu_SCDPT3'!SCDPT3_2499999_9</vt:lpstr>
      <vt:lpstr>'GMIC_2020-Annu_SCDPT3'!SCDPT3_24BEGIN_1</vt:lpstr>
      <vt:lpstr>'GMIC_2020-Annu_SCDPT3'!SCDPT3_24BEGIN_10</vt:lpstr>
      <vt:lpstr>'GMIC_2020-Annu_SCDPT3'!SCDPT3_24BEGIN_11</vt:lpstr>
      <vt:lpstr>'GMIC_2020-Annu_SCDPT3'!SCDPT3_24BEGIN_12</vt:lpstr>
      <vt:lpstr>'GMIC_2020-Annu_SCDPT3'!SCDPT3_24BEGIN_13</vt:lpstr>
      <vt:lpstr>'GMIC_2020-Annu_SCDPT3'!SCDPT3_24BEGIN_14</vt:lpstr>
      <vt:lpstr>'GMIC_2020-Annu_SCDPT3'!SCDPT3_24BEGIN_2</vt:lpstr>
      <vt:lpstr>'GMIC_2020-Annu_SCDPT3'!SCDPT3_24BEGIN_3</vt:lpstr>
      <vt:lpstr>'GMIC_2020-Annu_SCDPT3'!SCDPT3_24BEGIN_4</vt:lpstr>
      <vt:lpstr>'GMIC_2020-Annu_SCDPT3'!SCDPT3_24BEGIN_5</vt:lpstr>
      <vt:lpstr>'GMIC_2020-Annu_SCDPT3'!SCDPT3_24BEGIN_6</vt:lpstr>
      <vt:lpstr>'GMIC_2020-Annu_SCDPT3'!SCDPT3_24BEGIN_7</vt:lpstr>
      <vt:lpstr>'GMIC_2020-Annu_SCDPT3'!SCDPT3_24BEGIN_8</vt:lpstr>
      <vt:lpstr>'GMIC_2020-Annu_SCDPT3'!SCDPT3_24BEGIN_9</vt:lpstr>
      <vt:lpstr>'GMIC_2020-Annu_SCDPT3'!SCDPT3_24ENDIN_10</vt:lpstr>
      <vt:lpstr>'GMIC_2020-Annu_SCDPT3'!SCDPT3_24ENDIN_11</vt:lpstr>
      <vt:lpstr>'GMIC_2020-Annu_SCDPT3'!SCDPT3_24ENDIN_12</vt:lpstr>
      <vt:lpstr>'GMIC_2020-Annu_SCDPT3'!SCDPT3_24ENDIN_13</vt:lpstr>
      <vt:lpstr>'GMIC_2020-Annu_SCDPT3'!SCDPT3_24ENDIN_14</vt:lpstr>
      <vt:lpstr>'GMIC_2020-Annu_SCDPT3'!SCDPT3_24ENDIN_2</vt:lpstr>
      <vt:lpstr>'GMIC_2020-Annu_SCDPT3'!SCDPT3_24ENDIN_3</vt:lpstr>
      <vt:lpstr>'GMIC_2020-Annu_SCDPT3'!SCDPT3_24ENDIN_4</vt:lpstr>
      <vt:lpstr>'GMIC_2020-Annu_SCDPT3'!SCDPT3_24ENDIN_5</vt:lpstr>
      <vt:lpstr>'GMIC_2020-Annu_SCDPT3'!SCDPT3_24ENDIN_6</vt:lpstr>
      <vt:lpstr>'GMIC_2020-Annu_SCDPT3'!SCDPT3_24ENDIN_7</vt:lpstr>
      <vt:lpstr>'GMIC_2020-Annu_SCDPT3'!SCDPT3_24ENDIN_8</vt:lpstr>
      <vt:lpstr>'GMIC_2020-Annu_SCDPT3'!SCDPT3_24ENDIN_9</vt:lpstr>
      <vt:lpstr>'GMIC_2020-Annu_SCDPT3'!SCDPT3_3100000_Range</vt:lpstr>
      <vt:lpstr>'GMIC_2020-Annu_SCDPT3'!SCDPT3_3100001_1</vt:lpstr>
      <vt:lpstr>'GMIC_2020-Annu_SCDPT3'!SCDPT3_3100001_10</vt:lpstr>
      <vt:lpstr>'GMIC_2020-Annu_SCDPT3'!SCDPT3_3100001_11</vt:lpstr>
      <vt:lpstr>'GMIC_2020-Annu_SCDPT3'!SCDPT3_3100001_12</vt:lpstr>
      <vt:lpstr>'GMIC_2020-Annu_SCDPT3'!SCDPT3_3100001_13</vt:lpstr>
      <vt:lpstr>'GMIC_2020-Annu_SCDPT3'!SCDPT3_3100001_14</vt:lpstr>
      <vt:lpstr>'GMIC_2020-Annu_SCDPT3'!SCDPT3_3100001_2</vt:lpstr>
      <vt:lpstr>'GMIC_2020-Annu_SCDPT3'!SCDPT3_3100001_3</vt:lpstr>
      <vt:lpstr>'GMIC_2020-Annu_SCDPT3'!SCDPT3_3100001_4</vt:lpstr>
      <vt:lpstr>'GMIC_2020-Annu_SCDPT3'!SCDPT3_3100001_5</vt:lpstr>
      <vt:lpstr>'GMIC_2020-Annu_SCDPT3'!SCDPT3_3100001_7</vt:lpstr>
      <vt:lpstr>'GMIC_2020-Annu_SCDPT3'!SCDPT3_3100001_8</vt:lpstr>
      <vt:lpstr>'GMIC_2020-Annu_SCDPT3'!SCDPT3_3100001_9</vt:lpstr>
      <vt:lpstr>'GMIC_2020-Annu_SCDPT3'!SCDPT3_3199999_7</vt:lpstr>
      <vt:lpstr>'GMIC_2020-Annu_SCDPT3'!SCDPT3_3199999_8</vt:lpstr>
      <vt:lpstr>'GMIC_2020-Annu_SCDPT3'!SCDPT3_3199999_9</vt:lpstr>
      <vt:lpstr>'GMIC_2020-Annu_SCDPT3'!SCDPT3_31BEGIN_1</vt:lpstr>
      <vt:lpstr>'GMIC_2020-Annu_SCDPT3'!SCDPT3_31BEGIN_10</vt:lpstr>
      <vt:lpstr>'GMIC_2020-Annu_SCDPT3'!SCDPT3_31BEGIN_11</vt:lpstr>
      <vt:lpstr>'GMIC_2020-Annu_SCDPT3'!SCDPT3_31BEGIN_12</vt:lpstr>
      <vt:lpstr>'GMIC_2020-Annu_SCDPT3'!SCDPT3_31BEGIN_13</vt:lpstr>
      <vt:lpstr>'GMIC_2020-Annu_SCDPT3'!SCDPT3_31BEGIN_14</vt:lpstr>
      <vt:lpstr>'GMIC_2020-Annu_SCDPT3'!SCDPT3_31BEGIN_2</vt:lpstr>
      <vt:lpstr>'GMIC_2020-Annu_SCDPT3'!SCDPT3_31BEGIN_3</vt:lpstr>
      <vt:lpstr>'GMIC_2020-Annu_SCDPT3'!SCDPT3_31BEGIN_4</vt:lpstr>
      <vt:lpstr>'GMIC_2020-Annu_SCDPT3'!SCDPT3_31BEGIN_5</vt:lpstr>
      <vt:lpstr>'GMIC_2020-Annu_SCDPT3'!SCDPT3_31BEGIN_6</vt:lpstr>
      <vt:lpstr>'GMIC_2020-Annu_SCDPT3'!SCDPT3_31BEGIN_7</vt:lpstr>
      <vt:lpstr>'GMIC_2020-Annu_SCDPT3'!SCDPT3_31BEGIN_8</vt:lpstr>
      <vt:lpstr>'GMIC_2020-Annu_SCDPT3'!SCDPT3_31BEGIN_9</vt:lpstr>
      <vt:lpstr>'GMIC_2020-Annu_SCDPT3'!SCDPT3_31ENDIN_10</vt:lpstr>
      <vt:lpstr>'GMIC_2020-Annu_SCDPT3'!SCDPT3_31ENDIN_11</vt:lpstr>
      <vt:lpstr>'GMIC_2020-Annu_SCDPT3'!SCDPT3_31ENDIN_12</vt:lpstr>
      <vt:lpstr>'GMIC_2020-Annu_SCDPT3'!SCDPT3_31ENDIN_13</vt:lpstr>
      <vt:lpstr>'GMIC_2020-Annu_SCDPT3'!SCDPT3_31ENDIN_14</vt:lpstr>
      <vt:lpstr>'GMIC_2020-Annu_SCDPT3'!SCDPT3_31ENDIN_2</vt:lpstr>
      <vt:lpstr>'GMIC_2020-Annu_SCDPT3'!SCDPT3_31ENDIN_3</vt:lpstr>
      <vt:lpstr>'GMIC_2020-Annu_SCDPT3'!SCDPT3_31ENDIN_4</vt:lpstr>
      <vt:lpstr>'GMIC_2020-Annu_SCDPT3'!SCDPT3_31ENDIN_5</vt:lpstr>
      <vt:lpstr>'GMIC_2020-Annu_SCDPT3'!SCDPT3_31ENDIN_6</vt:lpstr>
      <vt:lpstr>'GMIC_2020-Annu_SCDPT3'!SCDPT3_31ENDIN_7</vt:lpstr>
      <vt:lpstr>'GMIC_2020-Annu_SCDPT3'!SCDPT3_31ENDIN_8</vt:lpstr>
      <vt:lpstr>'GMIC_2020-Annu_SCDPT3'!SCDPT3_31ENDIN_9</vt:lpstr>
      <vt:lpstr>'GMIC_2020-Annu_SCDPT3'!SCDPT3_3800000_Range</vt:lpstr>
      <vt:lpstr>'GMIC_2020-Annu_SCDPT3'!SCDPT3_3800001_1</vt:lpstr>
      <vt:lpstr>'GMIC_2020-Annu_SCDPT3'!SCDPT3_3800001_11</vt:lpstr>
      <vt:lpstr>'GMIC_2020-Annu_SCDPT3'!SCDPT3_3800001_12</vt:lpstr>
      <vt:lpstr>'GMIC_2020-Annu_SCDPT3'!SCDPT3_3800001_13</vt:lpstr>
      <vt:lpstr>'GMIC_2020-Annu_SCDPT3'!SCDPT3_3800001_14</vt:lpstr>
      <vt:lpstr>'GMIC_2020-Annu_SCDPT3'!SCDPT3_3800001_2</vt:lpstr>
      <vt:lpstr>'GMIC_2020-Annu_SCDPT3'!SCDPT3_3800001_3</vt:lpstr>
      <vt:lpstr>'GMIC_2020-Annu_SCDPT3'!SCDPT3_3800001_4</vt:lpstr>
      <vt:lpstr>'GMIC_2020-Annu_SCDPT3'!SCDPT3_3800001_5</vt:lpstr>
      <vt:lpstr>'GMIC_2020-Annu_SCDPT3'!SCDPT3_3800001_7</vt:lpstr>
      <vt:lpstr>'GMIC_2020-Annu_SCDPT3'!SCDPT3_3800001_8</vt:lpstr>
      <vt:lpstr>'GMIC_2020-Annu_SCDPT3'!SCDPT3_3800001_9</vt:lpstr>
      <vt:lpstr>'GMIC_2020-Annu_SCDPT3'!SCDPT3_3899999_7</vt:lpstr>
      <vt:lpstr>'GMIC_2020-Annu_SCDPT3'!SCDPT3_3899999_8</vt:lpstr>
      <vt:lpstr>'GMIC_2020-Annu_SCDPT3'!SCDPT3_3899999_9</vt:lpstr>
      <vt:lpstr>'GMIC_2020-Annu_SCDPT3'!SCDPT3_38BEGIN_1</vt:lpstr>
      <vt:lpstr>'GMIC_2020-Annu_SCDPT3'!SCDPT3_38BEGIN_10</vt:lpstr>
      <vt:lpstr>'GMIC_2020-Annu_SCDPT3'!SCDPT3_38BEGIN_11</vt:lpstr>
      <vt:lpstr>'GMIC_2020-Annu_SCDPT3'!SCDPT3_38BEGIN_12</vt:lpstr>
      <vt:lpstr>'GMIC_2020-Annu_SCDPT3'!SCDPT3_38BEGIN_13</vt:lpstr>
      <vt:lpstr>'GMIC_2020-Annu_SCDPT3'!SCDPT3_38BEGIN_14</vt:lpstr>
      <vt:lpstr>'GMIC_2020-Annu_SCDPT3'!SCDPT3_38BEGIN_2</vt:lpstr>
      <vt:lpstr>'GMIC_2020-Annu_SCDPT3'!SCDPT3_38BEGIN_3</vt:lpstr>
      <vt:lpstr>'GMIC_2020-Annu_SCDPT3'!SCDPT3_38BEGIN_4</vt:lpstr>
      <vt:lpstr>'GMIC_2020-Annu_SCDPT3'!SCDPT3_38BEGIN_5</vt:lpstr>
      <vt:lpstr>'GMIC_2020-Annu_SCDPT3'!SCDPT3_38BEGIN_6</vt:lpstr>
      <vt:lpstr>'GMIC_2020-Annu_SCDPT3'!SCDPT3_38BEGIN_7</vt:lpstr>
      <vt:lpstr>'GMIC_2020-Annu_SCDPT3'!SCDPT3_38BEGIN_8</vt:lpstr>
      <vt:lpstr>'GMIC_2020-Annu_SCDPT3'!SCDPT3_38BEGIN_9</vt:lpstr>
      <vt:lpstr>'GMIC_2020-Annu_SCDPT3'!SCDPT3_38ENDIN_10</vt:lpstr>
      <vt:lpstr>'GMIC_2020-Annu_SCDPT3'!SCDPT3_38ENDIN_11</vt:lpstr>
      <vt:lpstr>'GMIC_2020-Annu_SCDPT3'!SCDPT3_38ENDIN_12</vt:lpstr>
      <vt:lpstr>'GMIC_2020-Annu_SCDPT3'!SCDPT3_38ENDIN_13</vt:lpstr>
      <vt:lpstr>'GMIC_2020-Annu_SCDPT3'!SCDPT3_38ENDIN_14</vt:lpstr>
      <vt:lpstr>'GMIC_2020-Annu_SCDPT3'!SCDPT3_38ENDIN_2</vt:lpstr>
      <vt:lpstr>'GMIC_2020-Annu_SCDPT3'!SCDPT3_38ENDIN_3</vt:lpstr>
      <vt:lpstr>'GMIC_2020-Annu_SCDPT3'!SCDPT3_38ENDIN_4</vt:lpstr>
      <vt:lpstr>'GMIC_2020-Annu_SCDPT3'!SCDPT3_38ENDIN_5</vt:lpstr>
      <vt:lpstr>'GMIC_2020-Annu_SCDPT3'!SCDPT3_38ENDIN_6</vt:lpstr>
      <vt:lpstr>'GMIC_2020-Annu_SCDPT3'!SCDPT3_38ENDIN_7</vt:lpstr>
      <vt:lpstr>'GMIC_2020-Annu_SCDPT3'!SCDPT3_38ENDIN_8</vt:lpstr>
      <vt:lpstr>'GMIC_2020-Annu_SCDPT3'!SCDPT3_38ENDIN_9</vt:lpstr>
      <vt:lpstr>'GMIC_2020-Annu_SCDPT3'!SCDPT3_4800000_Range</vt:lpstr>
      <vt:lpstr>'GMIC_2020-Annu_SCDPT3'!SCDPT3_4899999_7</vt:lpstr>
      <vt:lpstr>'GMIC_2020-Annu_SCDPT3'!SCDPT3_4899999_8</vt:lpstr>
      <vt:lpstr>'GMIC_2020-Annu_SCDPT3'!SCDPT3_4899999_9</vt:lpstr>
      <vt:lpstr>'GMIC_2020-Annu_SCDPT3'!SCDPT3_48BEGIN_1</vt:lpstr>
      <vt:lpstr>'GMIC_2020-Annu_SCDPT3'!SCDPT3_48BEGIN_10</vt:lpstr>
      <vt:lpstr>'GMIC_2020-Annu_SCDPT3'!SCDPT3_48BEGIN_11</vt:lpstr>
      <vt:lpstr>'GMIC_2020-Annu_SCDPT3'!SCDPT3_48BEGIN_12</vt:lpstr>
      <vt:lpstr>'GMIC_2020-Annu_SCDPT3'!SCDPT3_48BEGIN_13</vt:lpstr>
      <vt:lpstr>'GMIC_2020-Annu_SCDPT3'!SCDPT3_48BEGIN_14</vt:lpstr>
      <vt:lpstr>'GMIC_2020-Annu_SCDPT3'!SCDPT3_48BEGIN_2</vt:lpstr>
      <vt:lpstr>'GMIC_2020-Annu_SCDPT3'!SCDPT3_48BEGIN_3</vt:lpstr>
      <vt:lpstr>'GMIC_2020-Annu_SCDPT3'!SCDPT3_48BEGIN_4</vt:lpstr>
      <vt:lpstr>'GMIC_2020-Annu_SCDPT3'!SCDPT3_48BEGIN_5</vt:lpstr>
      <vt:lpstr>'GMIC_2020-Annu_SCDPT3'!SCDPT3_48BEGIN_6</vt:lpstr>
      <vt:lpstr>'GMIC_2020-Annu_SCDPT3'!SCDPT3_48BEGIN_7</vt:lpstr>
      <vt:lpstr>'GMIC_2020-Annu_SCDPT3'!SCDPT3_48BEGIN_8</vt:lpstr>
      <vt:lpstr>'GMIC_2020-Annu_SCDPT3'!SCDPT3_48BEGIN_9</vt:lpstr>
      <vt:lpstr>'GMIC_2020-Annu_SCDPT3'!SCDPT3_48ENDIN_10</vt:lpstr>
      <vt:lpstr>'GMIC_2020-Annu_SCDPT3'!SCDPT3_48ENDIN_11</vt:lpstr>
      <vt:lpstr>'GMIC_2020-Annu_SCDPT3'!SCDPT3_48ENDIN_12</vt:lpstr>
      <vt:lpstr>'GMIC_2020-Annu_SCDPT3'!SCDPT3_48ENDIN_13</vt:lpstr>
      <vt:lpstr>'GMIC_2020-Annu_SCDPT3'!SCDPT3_48ENDIN_14</vt:lpstr>
      <vt:lpstr>'GMIC_2020-Annu_SCDPT3'!SCDPT3_48ENDIN_2</vt:lpstr>
      <vt:lpstr>'GMIC_2020-Annu_SCDPT3'!SCDPT3_48ENDIN_3</vt:lpstr>
      <vt:lpstr>'GMIC_2020-Annu_SCDPT3'!SCDPT3_48ENDIN_4</vt:lpstr>
      <vt:lpstr>'GMIC_2020-Annu_SCDPT3'!SCDPT3_48ENDIN_5</vt:lpstr>
      <vt:lpstr>'GMIC_2020-Annu_SCDPT3'!SCDPT3_48ENDIN_6</vt:lpstr>
      <vt:lpstr>'GMIC_2020-Annu_SCDPT3'!SCDPT3_48ENDIN_7</vt:lpstr>
      <vt:lpstr>'GMIC_2020-Annu_SCDPT3'!SCDPT3_48ENDIN_8</vt:lpstr>
      <vt:lpstr>'GMIC_2020-Annu_SCDPT3'!SCDPT3_48ENDIN_9</vt:lpstr>
      <vt:lpstr>'GMIC_2020-Annu_SCDPT3'!SCDPT3_5500000_Range</vt:lpstr>
      <vt:lpstr>'GMIC_2020-Annu_SCDPT3'!SCDPT3_5599999_7</vt:lpstr>
      <vt:lpstr>'GMIC_2020-Annu_SCDPT3'!SCDPT3_5599999_8</vt:lpstr>
      <vt:lpstr>'GMIC_2020-Annu_SCDPT3'!SCDPT3_5599999_9</vt:lpstr>
      <vt:lpstr>'GMIC_2020-Annu_SCDPT3'!SCDPT3_55BEGIN_1</vt:lpstr>
      <vt:lpstr>'GMIC_2020-Annu_SCDPT3'!SCDPT3_55BEGIN_10</vt:lpstr>
      <vt:lpstr>'GMIC_2020-Annu_SCDPT3'!SCDPT3_55BEGIN_11</vt:lpstr>
      <vt:lpstr>'GMIC_2020-Annu_SCDPT3'!SCDPT3_55BEGIN_12</vt:lpstr>
      <vt:lpstr>'GMIC_2020-Annu_SCDPT3'!SCDPT3_55BEGIN_13</vt:lpstr>
      <vt:lpstr>'GMIC_2020-Annu_SCDPT3'!SCDPT3_55BEGIN_14</vt:lpstr>
      <vt:lpstr>'GMIC_2020-Annu_SCDPT3'!SCDPT3_55BEGIN_2</vt:lpstr>
      <vt:lpstr>'GMIC_2020-Annu_SCDPT3'!SCDPT3_55BEGIN_3</vt:lpstr>
      <vt:lpstr>'GMIC_2020-Annu_SCDPT3'!SCDPT3_55BEGIN_4</vt:lpstr>
      <vt:lpstr>'GMIC_2020-Annu_SCDPT3'!SCDPT3_55BEGIN_5</vt:lpstr>
      <vt:lpstr>'GMIC_2020-Annu_SCDPT3'!SCDPT3_55BEGIN_6</vt:lpstr>
      <vt:lpstr>'GMIC_2020-Annu_SCDPT3'!SCDPT3_55BEGIN_7</vt:lpstr>
      <vt:lpstr>'GMIC_2020-Annu_SCDPT3'!SCDPT3_55BEGIN_8</vt:lpstr>
      <vt:lpstr>'GMIC_2020-Annu_SCDPT3'!SCDPT3_55BEGIN_9</vt:lpstr>
      <vt:lpstr>'GMIC_2020-Annu_SCDPT3'!SCDPT3_55ENDIN_10</vt:lpstr>
      <vt:lpstr>'GMIC_2020-Annu_SCDPT3'!SCDPT3_55ENDIN_11</vt:lpstr>
      <vt:lpstr>'GMIC_2020-Annu_SCDPT3'!SCDPT3_55ENDIN_12</vt:lpstr>
      <vt:lpstr>'GMIC_2020-Annu_SCDPT3'!SCDPT3_55ENDIN_13</vt:lpstr>
      <vt:lpstr>'GMIC_2020-Annu_SCDPT3'!SCDPT3_55ENDIN_14</vt:lpstr>
      <vt:lpstr>'GMIC_2020-Annu_SCDPT3'!SCDPT3_55ENDIN_2</vt:lpstr>
      <vt:lpstr>'GMIC_2020-Annu_SCDPT3'!SCDPT3_55ENDIN_3</vt:lpstr>
      <vt:lpstr>'GMIC_2020-Annu_SCDPT3'!SCDPT3_55ENDIN_4</vt:lpstr>
      <vt:lpstr>'GMIC_2020-Annu_SCDPT3'!SCDPT3_55ENDIN_5</vt:lpstr>
      <vt:lpstr>'GMIC_2020-Annu_SCDPT3'!SCDPT3_55ENDIN_6</vt:lpstr>
      <vt:lpstr>'GMIC_2020-Annu_SCDPT3'!SCDPT3_55ENDIN_7</vt:lpstr>
      <vt:lpstr>'GMIC_2020-Annu_SCDPT3'!SCDPT3_55ENDIN_8</vt:lpstr>
      <vt:lpstr>'GMIC_2020-Annu_SCDPT3'!SCDPT3_55ENDIN_9</vt:lpstr>
      <vt:lpstr>'GMIC_2020-Annu_SCDPT3'!SCDPT3_8000000_Range</vt:lpstr>
      <vt:lpstr>'GMIC_2020-Annu_SCDPT3'!SCDPT3_8099999_7</vt:lpstr>
      <vt:lpstr>'GMIC_2020-Annu_SCDPT3'!SCDPT3_8099999_8</vt:lpstr>
      <vt:lpstr>'GMIC_2020-Annu_SCDPT3'!SCDPT3_8099999_9</vt:lpstr>
      <vt:lpstr>'GMIC_2020-Annu_SCDPT3'!SCDPT3_80BEGIN_1</vt:lpstr>
      <vt:lpstr>'GMIC_2020-Annu_SCDPT3'!SCDPT3_80BEGIN_10</vt:lpstr>
      <vt:lpstr>'GMIC_2020-Annu_SCDPT3'!SCDPT3_80BEGIN_11</vt:lpstr>
      <vt:lpstr>'GMIC_2020-Annu_SCDPT3'!SCDPT3_80BEGIN_12</vt:lpstr>
      <vt:lpstr>'GMIC_2020-Annu_SCDPT3'!SCDPT3_80BEGIN_13</vt:lpstr>
      <vt:lpstr>'GMIC_2020-Annu_SCDPT3'!SCDPT3_80BEGIN_14</vt:lpstr>
      <vt:lpstr>'GMIC_2020-Annu_SCDPT3'!SCDPT3_80BEGIN_2</vt:lpstr>
      <vt:lpstr>'GMIC_2020-Annu_SCDPT3'!SCDPT3_80BEGIN_3</vt:lpstr>
      <vt:lpstr>'GMIC_2020-Annu_SCDPT3'!SCDPT3_80BEGIN_4</vt:lpstr>
      <vt:lpstr>'GMIC_2020-Annu_SCDPT3'!SCDPT3_80BEGIN_5</vt:lpstr>
      <vt:lpstr>'GMIC_2020-Annu_SCDPT3'!SCDPT3_80BEGIN_6</vt:lpstr>
      <vt:lpstr>'GMIC_2020-Annu_SCDPT3'!SCDPT3_80BEGIN_7</vt:lpstr>
      <vt:lpstr>'GMIC_2020-Annu_SCDPT3'!SCDPT3_80BEGIN_8</vt:lpstr>
      <vt:lpstr>'GMIC_2020-Annu_SCDPT3'!SCDPT3_80BEGIN_9</vt:lpstr>
      <vt:lpstr>'GMIC_2020-Annu_SCDPT3'!SCDPT3_80ENDIN_10</vt:lpstr>
      <vt:lpstr>'GMIC_2020-Annu_SCDPT3'!SCDPT3_80ENDIN_11</vt:lpstr>
      <vt:lpstr>'GMIC_2020-Annu_SCDPT3'!SCDPT3_80ENDIN_12</vt:lpstr>
      <vt:lpstr>'GMIC_2020-Annu_SCDPT3'!SCDPT3_80ENDIN_13</vt:lpstr>
      <vt:lpstr>'GMIC_2020-Annu_SCDPT3'!SCDPT3_80ENDIN_14</vt:lpstr>
      <vt:lpstr>'GMIC_2020-Annu_SCDPT3'!SCDPT3_80ENDIN_2</vt:lpstr>
      <vt:lpstr>'GMIC_2020-Annu_SCDPT3'!SCDPT3_80ENDIN_3</vt:lpstr>
      <vt:lpstr>'GMIC_2020-Annu_SCDPT3'!SCDPT3_80ENDIN_4</vt:lpstr>
      <vt:lpstr>'GMIC_2020-Annu_SCDPT3'!SCDPT3_80ENDIN_5</vt:lpstr>
      <vt:lpstr>'GMIC_2020-Annu_SCDPT3'!SCDPT3_80ENDIN_6</vt:lpstr>
      <vt:lpstr>'GMIC_2020-Annu_SCDPT3'!SCDPT3_80ENDIN_7</vt:lpstr>
      <vt:lpstr>'GMIC_2020-Annu_SCDPT3'!SCDPT3_80ENDIN_8</vt:lpstr>
      <vt:lpstr>'GMIC_2020-Annu_SCDPT3'!SCDPT3_80ENDIN_9</vt:lpstr>
      <vt:lpstr>'GMIC_2020-Annu_SCDPT3'!SCDPT3_8200000_Range</vt:lpstr>
      <vt:lpstr>'GMIC_2020-Annu_SCDPT3'!SCDPT3_8299999_7</vt:lpstr>
      <vt:lpstr>'GMIC_2020-Annu_SCDPT3'!SCDPT3_8299999_8</vt:lpstr>
      <vt:lpstr>'GMIC_2020-Annu_SCDPT3'!SCDPT3_8299999_9</vt:lpstr>
      <vt:lpstr>'GMIC_2020-Annu_SCDPT3'!SCDPT3_82BEGIN_1</vt:lpstr>
      <vt:lpstr>'GMIC_2020-Annu_SCDPT3'!SCDPT3_82BEGIN_10</vt:lpstr>
      <vt:lpstr>'GMIC_2020-Annu_SCDPT3'!SCDPT3_82BEGIN_11</vt:lpstr>
      <vt:lpstr>'GMIC_2020-Annu_SCDPT3'!SCDPT3_82BEGIN_12</vt:lpstr>
      <vt:lpstr>'GMIC_2020-Annu_SCDPT3'!SCDPT3_82BEGIN_13</vt:lpstr>
      <vt:lpstr>'GMIC_2020-Annu_SCDPT3'!SCDPT3_82BEGIN_14</vt:lpstr>
      <vt:lpstr>'GMIC_2020-Annu_SCDPT3'!SCDPT3_82BEGIN_2</vt:lpstr>
      <vt:lpstr>'GMIC_2020-Annu_SCDPT3'!SCDPT3_82BEGIN_3</vt:lpstr>
      <vt:lpstr>'GMIC_2020-Annu_SCDPT3'!SCDPT3_82BEGIN_4</vt:lpstr>
      <vt:lpstr>'GMIC_2020-Annu_SCDPT3'!SCDPT3_82BEGIN_5</vt:lpstr>
      <vt:lpstr>'GMIC_2020-Annu_SCDPT3'!SCDPT3_82BEGIN_6</vt:lpstr>
      <vt:lpstr>'GMIC_2020-Annu_SCDPT3'!SCDPT3_82BEGIN_7</vt:lpstr>
      <vt:lpstr>'GMIC_2020-Annu_SCDPT3'!SCDPT3_82BEGIN_8</vt:lpstr>
      <vt:lpstr>'GMIC_2020-Annu_SCDPT3'!SCDPT3_82BEGIN_9</vt:lpstr>
      <vt:lpstr>'GMIC_2020-Annu_SCDPT3'!SCDPT3_82ENDIN_10</vt:lpstr>
      <vt:lpstr>'GMIC_2020-Annu_SCDPT3'!SCDPT3_82ENDIN_11</vt:lpstr>
      <vt:lpstr>'GMIC_2020-Annu_SCDPT3'!SCDPT3_82ENDIN_12</vt:lpstr>
      <vt:lpstr>'GMIC_2020-Annu_SCDPT3'!SCDPT3_82ENDIN_13</vt:lpstr>
      <vt:lpstr>'GMIC_2020-Annu_SCDPT3'!SCDPT3_82ENDIN_14</vt:lpstr>
      <vt:lpstr>'GMIC_2020-Annu_SCDPT3'!SCDPT3_82ENDIN_2</vt:lpstr>
      <vt:lpstr>'GMIC_2020-Annu_SCDPT3'!SCDPT3_82ENDIN_3</vt:lpstr>
      <vt:lpstr>'GMIC_2020-Annu_SCDPT3'!SCDPT3_82ENDIN_4</vt:lpstr>
      <vt:lpstr>'GMIC_2020-Annu_SCDPT3'!SCDPT3_82ENDIN_5</vt:lpstr>
      <vt:lpstr>'GMIC_2020-Annu_SCDPT3'!SCDPT3_82ENDIN_6</vt:lpstr>
      <vt:lpstr>'GMIC_2020-Annu_SCDPT3'!SCDPT3_82ENDIN_7</vt:lpstr>
      <vt:lpstr>'GMIC_2020-Annu_SCDPT3'!SCDPT3_82ENDIN_8</vt:lpstr>
      <vt:lpstr>'GMIC_2020-Annu_SCDPT3'!SCDPT3_82ENDIN_9</vt:lpstr>
      <vt:lpstr>'GMIC_2020-Annu_SCDPT3'!SCDPT3_8399997_7</vt:lpstr>
      <vt:lpstr>'GMIC_2020-Annu_SCDPT3'!SCDPT3_8399997_8</vt:lpstr>
      <vt:lpstr>'GMIC_2020-Annu_SCDPT3'!SCDPT3_8399997_9</vt:lpstr>
      <vt:lpstr>'GMIC_2020-Annu_SCDPT3'!SCDPT3_8399998_7</vt:lpstr>
      <vt:lpstr>'GMIC_2020-Annu_SCDPT3'!SCDPT3_8399998_8</vt:lpstr>
      <vt:lpstr>'GMIC_2020-Annu_SCDPT3'!SCDPT3_8399998_9</vt:lpstr>
      <vt:lpstr>'GMIC_2020-Annu_SCDPT3'!SCDPT3_8399999_7</vt:lpstr>
      <vt:lpstr>'GMIC_2020-Annu_SCDPT3'!SCDPT3_8399999_8</vt:lpstr>
      <vt:lpstr>'GMIC_2020-Annu_SCDPT3'!SCDPT3_8399999_9</vt:lpstr>
      <vt:lpstr>'GMIC_2020-Annu_SCDPT3'!SCDPT3_8400000_Range</vt:lpstr>
      <vt:lpstr>'GMIC_2020-Annu_SCDPT3'!SCDPT3_8499999_7</vt:lpstr>
      <vt:lpstr>'GMIC_2020-Annu_SCDPT3'!SCDPT3_8499999_9</vt:lpstr>
      <vt:lpstr>'GMIC_2020-Annu_SCDPT3'!SCDPT3_84BEGIN_1</vt:lpstr>
      <vt:lpstr>'GMIC_2020-Annu_SCDPT3'!SCDPT3_84BEGIN_10</vt:lpstr>
      <vt:lpstr>'GMIC_2020-Annu_SCDPT3'!SCDPT3_84BEGIN_11</vt:lpstr>
      <vt:lpstr>'GMIC_2020-Annu_SCDPT3'!SCDPT3_84BEGIN_12</vt:lpstr>
      <vt:lpstr>'GMIC_2020-Annu_SCDPT3'!SCDPT3_84BEGIN_13</vt:lpstr>
      <vt:lpstr>'GMIC_2020-Annu_SCDPT3'!SCDPT3_84BEGIN_14</vt:lpstr>
      <vt:lpstr>'GMIC_2020-Annu_SCDPT3'!SCDPT3_84BEGIN_2</vt:lpstr>
      <vt:lpstr>'GMIC_2020-Annu_SCDPT3'!SCDPT3_84BEGIN_3</vt:lpstr>
      <vt:lpstr>'GMIC_2020-Annu_SCDPT3'!SCDPT3_84BEGIN_4</vt:lpstr>
      <vt:lpstr>'GMIC_2020-Annu_SCDPT3'!SCDPT3_84BEGIN_5</vt:lpstr>
      <vt:lpstr>'GMIC_2020-Annu_SCDPT3'!SCDPT3_84BEGIN_6</vt:lpstr>
      <vt:lpstr>'GMIC_2020-Annu_SCDPT3'!SCDPT3_84BEGIN_7</vt:lpstr>
      <vt:lpstr>'GMIC_2020-Annu_SCDPT3'!SCDPT3_84BEGIN_8</vt:lpstr>
      <vt:lpstr>'GMIC_2020-Annu_SCDPT3'!SCDPT3_84BEGIN_9</vt:lpstr>
      <vt:lpstr>'GMIC_2020-Annu_SCDPT3'!SCDPT3_84ENDIN_10</vt:lpstr>
      <vt:lpstr>'GMIC_2020-Annu_SCDPT3'!SCDPT3_84ENDIN_11</vt:lpstr>
      <vt:lpstr>'GMIC_2020-Annu_SCDPT3'!SCDPT3_84ENDIN_12</vt:lpstr>
      <vt:lpstr>'GMIC_2020-Annu_SCDPT3'!SCDPT3_84ENDIN_13</vt:lpstr>
      <vt:lpstr>'GMIC_2020-Annu_SCDPT3'!SCDPT3_84ENDIN_14</vt:lpstr>
      <vt:lpstr>'GMIC_2020-Annu_SCDPT3'!SCDPT3_84ENDIN_2</vt:lpstr>
      <vt:lpstr>'GMIC_2020-Annu_SCDPT3'!SCDPT3_84ENDIN_3</vt:lpstr>
      <vt:lpstr>'GMIC_2020-Annu_SCDPT3'!SCDPT3_84ENDIN_4</vt:lpstr>
      <vt:lpstr>'GMIC_2020-Annu_SCDPT3'!SCDPT3_84ENDIN_5</vt:lpstr>
      <vt:lpstr>'GMIC_2020-Annu_SCDPT3'!SCDPT3_84ENDIN_6</vt:lpstr>
      <vt:lpstr>'GMIC_2020-Annu_SCDPT3'!SCDPT3_84ENDIN_7</vt:lpstr>
      <vt:lpstr>'GMIC_2020-Annu_SCDPT3'!SCDPT3_84ENDIN_8</vt:lpstr>
      <vt:lpstr>'GMIC_2020-Annu_SCDPT3'!SCDPT3_84ENDIN_9</vt:lpstr>
      <vt:lpstr>'GMIC_2020-Annu_SCDPT3'!SCDPT3_8500000_Range</vt:lpstr>
      <vt:lpstr>'GMIC_2020-Annu_SCDPT3'!SCDPT3_8599999_7</vt:lpstr>
      <vt:lpstr>'GMIC_2020-Annu_SCDPT3'!SCDPT3_8599999_9</vt:lpstr>
      <vt:lpstr>'GMIC_2020-Annu_SCDPT3'!SCDPT3_85BEGIN_1</vt:lpstr>
      <vt:lpstr>'GMIC_2020-Annu_SCDPT3'!SCDPT3_85BEGIN_10</vt:lpstr>
      <vt:lpstr>'GMIC_2020-Annu_SCDPT3'!SCDPT3_85BEGIN_11</vt:lpstr>
      <vt:lpstr>'GMIC_2020-Annu_SCDPT3'!SCDPT3_85BEGIN_12</vt:lpstr>
      <vt:lpstr>'GMIC_2020-Annu_SCDPT3'!SCDPT3_85BEGIN_13</vt:lpstr>
      <vt:lpstr>'GMIC_2020-Annu_SCDPT3'!SCDPT3_85BEGIN_14</vt:lpstr>
      <vt:lpstr>'GMIC_2020-Annu_SCDPT3'!SCDPT3_85BEGIN_2</vt:lpstr>
      <vt:lpstr>'GMIC_2020-Annu_SCDPT3'!SCDPT3_85BEGIN_3</vt:lpstr>
      <vt:lpstr>'GMIC_2020-Annu_SCDPT3'!SCDPT3_85BEGIN_4</vt:lpstr>
      <vt:lpstr>'GMIC_2020-Annu_SCDPT3'!SCDPT3_85BEGIN_5</vt:lpstr>
      <vt:lpstr>'GMIC_2020-Annu_SCDPT3'!SCDPT3_85BEGIN_6</vt:lpstr>
      <vt:lpstr>'GMIC_2020-Annu_SCDPT3'!SCDPT3_85BEGIN_7</vt:lpstr>
      <vt:lpstr>'GMIC_2020-Annu_SCDPT3'!SCDPT3_85BEGIN_8</vt:lpstr>
      <vt:lpstr>'GMIC_2020-Annu_SCDPT3'!SCDPT3_85BEGIN_9</vt:lpstr>
      <vt:lpstr>'GMIC_2020-Annu_SCDPT3'!SCDPT3_85ENDIN_10</vt:lpstr>
      <vt:lpstr>'GMIC_2020-Annu_SCDPT3'!SCDPT3_85ENDIN_11</vt:lpstr>
      <vt:lpstr>'GMIC_2020-Annu_SCDPT3'!SCDPT3_85ENDIN_12</vt:lpstr>
      <vt:lpstr>'GMIC_2020-Annu_SCDPT3'!SCDPT3_85ENDIN_13</vt:lpstr>
      <vt:lpstr>'GMIC_2020-Annu_SCDPT3'!SCDPT3_85ENDIN_14</vt:lpstr>
      <vt:lpstr>'GMIC_2020-Annu_SCDPT3'!SCDPT3_85ENDIN_2</vt:lpstr>
      <vt:lpstr>'GMIC_2020-Annu_SCDPT3'!SCDPT3_85ENDIN_3</vt:lpstr>
      <vt:lpstr>'GMIC_2020-Annu_SCDPT3'!SCDPT3_85ENDIN_4</vt:lpstr>
      <vt:lpstr>'GMIC_2020-Annu_SCDPT3'!SCDPT3_85ENDIN_5</vt:lpstr>
      <vt:lpstr>'GMIC_2020-Annu_SCDPT3'!SCDPT3_85ENDIN_6</vt:lpstr>
      <vt:lpstr>'GMIC_2020-Annu_SCDPT3'!SCDPT3_85ENDIN_7</vt:lpstr>
      <vt:lpstr>'GMIC_2020-Annu_SCDPT3'!SCDPT3_85ENDIN_8</vt:lpstr>
      <vt:lpstr>'GMIC_2020-Annu_SCDPT3'!SCDPT3_85ENDIN_9</vt:lpstr>
      <vt:lpstr>'GMIC_2020-Annu_SCDPT3'!SCDPT3_8600000_Range</vt:lpstr>
      <vt:lpstr>'GMIC_2020-Annu_SCDPT3'!SCDPT3_8699999_7</vt:lpstr>
      <vt:lpstr>'GMIC_2020-Annu_SCDPT3'!SCDPT3_8699999_9</vt:lpstr>
      <vt:lpstr>'GMIC_2020-Annu_SCDPT3'!SCDPT3_86BEGIN_1</vt:lpstr>
      <vt:lpstr>'GMIC_2020-Annu_SCDPT3'!SCDPT3_86BEGIN_10</vt:lpstr>
      <vt:lpstr>'GMIC_2020-Annu_SCDPT3'!SCDPT3_86BEGIN_11</vt:lpstr>
      <vt:lpstr>'GMIC_2020-Annu_SCDPT3'!SCDPT3_86BEGIN_12</vt:lpstr>
      <vt:lpstr>'GMIC_2020-Annu_SCDPT3'!SCDPT3_86BEGIN_13</vt:lpstr>
      <vt:lpstr>'GMIC_2020-Annu_SCDPT3'!SCDPT3_86BEGIN_14</vt:lpstr>
      <vt:lpstr>'GMIC_2020-Annu_SCDPT3'!SCDPT3_86BEGIN_2</vt:lpstr>
      <vt:lpstr>'GMIC_2020-Annu_SCDPT3'!SCDPT3_86BEGIN_3</vt:lpstr>
      <vt:lpstr>'GMIC_2020-Annu_SCDPT3'!SCDPT3_86BEGIN_4</vt:lpstr>
      <vt:lpstr>'GMIC_2020-Annu_SCDPT3'!SCDPT3_86BEGIN_5</vt:lpstr>
      <vt:lpstr>'GMIC_2020-Annu_SCDPT3'!SCDPT3_86BEGIN_6</vt:lpstr>
      <vt:lpstr>'GMIC_2020-Annu_SCDPT3'!SCDPT3_86BEGIN_7</vt:lpstr>
      <vt:lpstr>'GMIC_2020-Annu_SCDPT3'!SCDPT3_86BEGIN_8</vt:lpstr>
      <vt:lpstr>'GMIC_2020-Annu_SCDPT3'!SCDPT3_86BEGIN_9</vt:lpstr>
      <vt:lpstr>'GMIC_2020-Annu_SCDPT3'!SCDPT3_86ENDIN_10</vt:lpstr>
      <vt:lpstr>'GMIC_2020-Annu_SCDPT3'!SCDPT3_86ENDIN_11</vt:lpstr>
      <vt:lpstr>'GMIC_2020-Annu_SCDPT3'!SCDPT3_86ENDIN_12</vt:lpstr>
      <vt:lpstr>'GMIC_2020-Annu_SCDPT3'!SCDPT3_86ENDIN_13</vt:lpstr>
      <vt:lpstr>'GMIC_2020-Annu_SCDPT3'!SCDPT3_86ENDIN_14</vt:lpstr>
      <vt:lpstr>'GMIC_2020-Annu_SCDPT3'!SCDPT3_86ENDIN_2</vt:lpstr>
      <vt:lpstr>'GMIC_2020-Annu_SCDPT3'!SCDPT3_86ENDIN_3</vt:lpstr>
      <vt:lpstr>'GMIC_2020-Annu_SCDPT3'!SCDPT3_86ENDIN_4</vt:lpstr>
      <vt:lpstr>'GMIC_2020-Annu_SCDPT3'!SCDPT3_86ENDIN_5</vt:lpstr>
      <vt:lpstr>'GMIC_2020-Annu_SCDPT3'!SCDPT3_86ENDIN_6</vt:lpstr>
      <vt:lpstr>'GMIC_2020-Annu_SCDPT3'!SCDPT3_86ENDIN_7</vt:lpstr>
      <vt:lpstr>'GMIC_2020-Annu_SCDPT3'!SCDPT3_86ENDIN_8</vt:lpstr>
      <vt:lpstr>'GMIC_2020-Annu_SCDPT3'!SCDPT3_86ENDIN_9</vt:lpstr>
      <vt:lpstr>'GMIC_2020-Annu_SCDPT3'!SCDPT3_8700000_Range</vt:lpstr>
      <vt:lpstr>'GMIC_2020-Annu_SCDPT3'!SCDPT3_8799999_7</vt:lpstr>
      <vt:lpstr>'GMIC_2020-Annu_SCDPT3'!SCDPT3_8799999_9</vt:lpstr>
      <vt:lpstr>'GMIC_2020-Annu_SCDPT3'!SCDPT3_87BEGIN_1</vt:lpstr>
      <vt:lpstr>'GMIC_2020-Annu_SCDPT3'!SCDPT3_87BEGIN_10</vt:lpstr>
      <vt:lpstr>'GMIC_2020-Annu_SCDPT3'!SCDPT3_87BEGIN_11</vt:lpstr>
      <vt:lpstr>'GMIC_2020-Annu_SCDPT3'!SCDPT3_87BEGIN_12</vt:lpstr>
      <vt:lpstr>'GMIC_2020-Annu_SCDPT3'!SCDPT3_87BEGIN_13</vt:lpstr>
      <vt:lpstr>'GMIC_2020-Annu_SCDPT3'!SCDPT3_87BEGIN_14</vt:lpstr>
      <vt:lpstr>'GMIC_2020-Annu_SCDPT3'!SCDPT3_87BEGIN_2</vt:lpstr>
      <vt:lpstr>'GMIC_2020-Annu_SCDPT3'!SCDPT3_87BEGIN_3</vt:lpstr>
      <vt:lpstr>'GMIC_2020-Annu_SCDPT3'!SCDPT3_87BEGIN_4</vt:lpstr>
      <vt:lpstr>'GMIC_2020-Annu_SCDPT3'!SCDPT3_87BEGIN_5</vt:lpstr>
      <vt:lpstr>'GMIC_2020-Annu_SCDPT3'!SCDPT3_87BEGIN_6</vt:lpstr>
      <vt:lpstr>'GMIC_2020-Annu_SCDPT3'!SCDPT3_87BEGIN_7</vt:lpstr>
      <vt:lpstr>'GMIC_2020-Annu_SCDPT3'!SCDPT3_87BEGIN_8</vt:lpstr>
      <vt:lpstr>'GMIC_2020-Annu_SCDPT3'!SCDPT3_87BEGIN_9</vt:lpstr>
      <vt:lpstr>'GMIC_2020-Annu_SCDPT3'!SCDPT3_87ENDIN_10</vt:lpstr>
      <vt:lpstr>'GMIC_2020-Annu_SCDPT3'!SCDPT3_87ENDIN_11</vt:lpstr>
      <vt:lpstr>'GMIC_2020-Annu_SCDPT3'!SCDPT3_87ENDIN_12</vt:lpstr>
      <vt:lpstr>'GMIC_2020-Annu_SCDPT3'!SCDPT3_87ENDIN_13</vt:lpstr>
      <vt:lpstr>'GMIC_2020-Annu_SCDPT3'!SCDPT3_87ENDIN_14</vt:lpstr>
      <vt:lpstr>'GMIC_2020-Annu_SCDPT3'!SCDPT3_87ENDIN_2</vt:lpstr>
      <vt:lpstr>'GMIC_2020-Annu_SCDPT3'!SCDPT3_87ENDIN_3</vt:lpstr>
      <vt:lpstr>'GMIC_2020-Annu_SCDPT3'!SCDPT3_87ENDIN_4</vt:lpstr>
      <vt:lpstr>'GMIC_2020-Annu_SCDPT3'!SCDPT3_87ENDIN_5</vt:lpstr>
      <vt:lpstr>'GMIC_2020-Annu_SCDPT3'!SCDPT3_87ENDIN_6</vt:lpstr>
      <vt:lpstr>'GMIC_2020-Annu_SCDPT3'!SCDPT3_87ENDIN_7</vt:lpstr>
      <vt:lpstr>'GMIC_2020-Annu_SCDPT3'!SCDPT3_87ENDIN_8</vt:lpstr>
      <vt:lpstr>'GMIC_2020-Annu_SCDPT3'!SCDPT3_87ENDIN_9</vt:lpstr>
      <vt:lpstr>'GMIC_2020-Annu_SCDPT3'!SCDPT3_8999997_7</vt:lpstr>
      <vt:lpstr>'GMIC_2020-Annu_SCDPT3'!SCDPT3_8999997_9</vt:lpstr>
      <vt:lpstr>'GMIC_2020-Annu_SCDPT3'!SCDPT3_8999998_7</vt:lpstr>
      <vt:lpstr>'GMIC_2020-Annu_SCDPT3'!SCDPT3_8999998_9</vt:lpstr>
      <vt:lpstr>'GMIC_2020-Annu_SCDPT3'!SCDPT3_8999999_7</vt:lpstr>
      <vt:lpstr>'GMIC_2020-Annu_SCDPT3'!SCDPT3_8999999_9</vt:lpstr>
      <vt:lpstr>'GMIC_2020-Annu_SCDPT3'!SCDPT3_9000000_Range</vt:lpstr>
      <vt:lpstr>'GMIC_2020-Annu_SCDPT3'!SCDPT3_9099999_7</vt:lpstr>
      <vt:lpstr>'GMIC_2020-Annu_SCDPT3'!SCDPT3_9099999_9</vt:lpstr>
      <vt:lpstr>'GMIC_2020-Annu_SCDPT3'!SCDPT3_90BEGIN_1</vt:lpstr>
      <vt:lpstr>'GMIC_2020-Annu_SCDPT3'!SCDPT3_90BEGIN_10</vt:lpstr>
      <vt:lpstr>'GMIC_2020-Annu_SCDPT3'!SCDPT3_90BEGIN_11</vt:lpstr>
      <vt:lpstr>'GMIC_2020-Annu_SCDPT3'!SCDPT3_90BEGIN_12</vt:lpstr>
      <vt:lpstr>'GMIC_2020-Annu_SCDPT3'!SCDPT3_90BEGIN_13</vt:lpstr>
      <vt:lpstr>'GMIC_2020-Annu_SCDPT3'!SCDPT3_90BEGIN_14</vt:lpstr>
      <vt:lpstr>'GMIC_2020-Annu_SCDPT3'!SCDPT3_90BEGIN_2</vt:lpstr>
      <vt:lpstr>'GMIC_2020-Annu_SCDPT3'!SCDPT3_90BEGIN_3</vt:lpstr>
      <vt:lpstr>'GMIC_2020-Annu_SCDPT3'!SCDPT3_90BEGIN_4</vt:lpstr>
      <vt:lpstr>'GMIC_2020-Annu_SCDPT3'!SCDPT3_90BEGIN_5</vt:lpstr>
      <vt:lpstr>'GMIC_2020-Annu_SCDPT3'!SCDPT3_90BEGIN_6</vt:lpstr>
      <vt:lpstr>'GMIC_2020-Annu_SCDPT3'!SCDPT3_90BEGIN_7</vt:lpstr>
      <vt:lpstr>'GMIC_2020-Annu_SCDPT3'!SCDPT3_90BEGIN_8</vt:lpstr>
      <vt:lpstr>'GMIC_2020-Annu_SCDPT3'!SCDPT3_90BEGIN_9</vt:lpstr>
      <vt:lpstr>'GMIC_2020-Annu_SCDPT3'!SCDPT3_90ENDIN_10</vt:lpstr>
      <vt:lpstr>'GMIC_2020-Annu_SCDPT3'!SCDPT3_90ENDIN_11</vt:lpstr>
      <vt:lpstr>'GMIC_2020-Annu_SCDPT3'!SCDPT3_90ENDIN_12</vt:lpstr>
      <vt:lpstr>'GMIC_2020-Annu_SCDPT3'!SCDPT3_90ENDIN_13</vt:lpstr>
      <vt:lpstr>'GMIC_2020-Annu_SCDPT3'!SCDPT3_90ENDIN_14</vt:lpstr>
      <vt:lpstr>'GMIC_2020-Annu_SCDPT3'!SCDPT3_90ENDIN_2</vt:lpstr>
      <vt:lpstr>'GMIC_2020-Annu_SCDPT3'!SCDPT3_90ENDIN_3</vt:lpstr>
      <vt:lpstr>'GMIC_2020-Annu_SCDPT3'!SCDPT3_90ENDIN_4</vt:lpstr>
      <vt:lpstr>'GMIC_2020-Annu_SCDPT3'!SCDPT3_90ENDIN_5</vt:lpstr>
      <vt:lpstr>'GMIC_2020-Annu_SCDPT3'!SCDPT3_90ENDIN_6</vt:lpstr>
      <vt:lpstr>'GMIC_2020-Annu_SCDPT3'!SCDPT3_90ENDIN_7</vt:lpstr>
      <vt:lpstr>'GMIC_2020-Annu_SCDPT3'!SCDPT3_90ENDIN_8</vt:lpstr>
      <vt:lpstr>'GMIC_2020-Annu_SCDPT3'!SCDPT3_90ENDIN_9</vt:lpstr>
      <vt:lpstr>'GMIC_2020-Annu_SCDPT3'!SCDPT3_9100000_Range</vt:lpstr>
      <vt:lpstr>'GMIC_2020-Annu_SCDPT3'!SCDPT3_9199999_7</vt:lpstr>
      <vt:lpstr>'GMIC_2020-Annu_SCDPT3'!SCDPT3_9199999_9</vt:lpstr>
      <vt:lpstr>'GMIC_2020-Annu_SCDPT3'!SCDPT3_91BEGIN_1</vt:lpstr>
      <vt:lpstr>'GMIC_2020-Annu_SCDPT3'!SCDPT3_91BEGIN_10</vt:lpstr>
      <vt:lpstr>'GMIC_2020-Annu_SCDPT3'!SCDPT3_91BEGIN_11</vt:lpstr>
      <vt:lpstr>'GMIC_2020-Annu_SCDPT3'!SCDPT3_91BEGIN_12</vt:lpstr>
      <vt:lpstr>'GMIC_2020-Annu_SCDPT3'!SCDPT3_91BEGIN_13</vt:lpstr>
      <vt:lpstr>'GMIC_2020-Annu_SCDPT3'!SCDPT3_91BEGIN_14</vt:lpstr>
      <vt:lpstr>'GMIC_2020-Annu_SCDPT3'!SCDPT3_91BEGIN_2</vt:lpstr>
      <vt:lpstr>'GMIC_2020-Annu_SCDPT3'!SCDPT3_91BEGIN_3</vt:lpstr>
      <vt:lpstr>'GMIC_2020-Annu_SCDPT3'!SCDPT3_91BEGIN_4</vt:lpstr>
      <vt:lpstr>'GMIC_2020-Annu_SCDPT3'!SCDPT3_91BEGIN_5</vt:lpstr>
      <vt:lpstr>'GMIC_2020-Annu_SCDPT3'!SCDPT3_91BEGIN_6</vt:lpstr>
      <vt:lpstr>'GMIC_2020-Annu_SCDPT3'!SCDPT3_91BEGIN_7</vt:lpstr>
      <vt:lpstr>'GMIC_2020-Annu_SCDPT3'!SCDPT3_91BEGIN_8</vt:lpstr>
      <vt:lpstr>'GMIC_2020-Annu_SCDPT3'!SCDPT3_91BEGIN_9</vt:lpstr>
      <vt:lpstr>'GMIC_2020-Annu_SCDPT3'!SCDPT3_91ENDIN_10</vt:lpstr>
      <vt:lpstr>'GMIC_2020-Annu_SCDPT3'!SCDPT3_91ENDIN_11</vt:lpstr>
      <vt:lpstr>'GMIC_2020-Annu_SCDPT3'!SCDPT3_91ENDIN_12</vt:lpstr>
      <vt:lpstr>'GMIC_2020-Annu_SCDPT3'!SCDPT3_91ENDIN_13</vt:lpstr>
      <vt:lpstr>'GMIC_2020-Annu_SCDPT3'!SCDPT3_91ENDIN_14</vt:lpstr>
      <vt:lpstr>'GMIC_2020-Annu_SCDPT3'!SCDPT3_91ENDIN_2</vt:lpstr>
      <vt:lpstr>'GMIC_2020-Annu_SCDPT3'!SCDPT3_91ENDIN_3</vt:lpstr>
      <vt:lpstr>'GMIC_2020-Annu_SCDPT3'!SCDPT3_91ENDIN_4</vt:lpstr>
      <vt:lpstr>'GMIC_2020-Annu_SCDPT3'!SCDPT3_91ENDIN_5</vt:lpstr>
      <vt:lpstr>'GMIC_2020-Annu_SCDPT3'!SCDPT3_91ENDIN_6</vt:lpstr>
      <vt:lpstr>'GMIC_2020-Annu_SCDPT3'!SCDPT3_91ENDIN_7</vt:lpstr>
      <vt:lpstr>'GMIC_2020-Annu_SCDPT3'!SCDPT3_91ENDIN_8</vt:lpstr>
      <vt:lpstr>'GMIC_2020-Annu_SCDPT3'!SCDPT3_91ENDIN_9</vt:lpstr>
      <vt:lpstr>'GMIC_2020-Annu_SCDPT3'!SCDPT3_9200000_Range</vt:lpstr>
      <vt:lpstr>'GMIC_2020-Annu_SCDPT3'!SCDPT3_9299999_7</vt:lpstr>
      <vt:lpstr>'GMIC_2020-Annu_SCDPT3'!SCDPT3_9299999_9</vt:lpstr>
      <vt:lpstr>'GMIC_2020-Annu_SCDPT3'!SCDPT3_92BEGIN_1</vt:lpstr>
      <vt:lpstr>'GMIC_2020-Annu_SCDPT3'!SCDPT3_92BEGIN_10</vt:lpstr>
      <vt:lpstr>'GMIC_2020-Annu_SCDPT3'!SCDPT3_92BEGIN_11</vt:lpstr>
      <vt:lpstr>'GMIC_2020-Annu_SCDPT3'!SCDPT3_92BEGIN_12</vt:lpstr>
      <vt:lpstr>'GMIC_2020-Annu_SCDPT3'!SCDPT3_92BEGIN_13</vt:lpstr>
      <vt:lpstr>'GMIC_2020-Annu_SCDPT3'!SCDPT3_92BEGIN_14</vt:lpstr>
      <vt:lpstr>'GMIC_2020-Annu_SCDPT3'!SCDPT3_92BEGIN_2</vt:lpstr>
      <vt:lpstr>'GMIC_2020-Annu_SCDPT3'!SCDPT3_92BEGIN_3</vt:lpstr>
      <vt:lpstr>'GMIC_2020-Annu_SCDPT3'!SCDPT3_92BEGIN_4</vt:lpstr>
      <vt:lpstr>'GMIC_2020-Annu_SCDPT3'!SCDPT3_92BEGIN_5</vt:lpstr>
      <vt:lpstr>'GMIC_2020-Annu_SCDPT3'!SCDPT3_92BEGIN_6</vt:lpstr>
      <vt:lpstr>'GMIC_2020-Annu_SCDPT3'!SCDPT3_92BEGIN_7</vt:lpstr>
      <vt:lpstr>'GMIC_2020-Annu_SCDPT3'!SCDPT3_92BEGIN_8</vt:lpstr>
      <vt:lpstr>'GMIC_2020-Annu_SCDPT3'!SCDPT3_92BEGIN_9</vt:lpstr>
      <vt:lpstr>'GMIC_2020-Annu_SCDPT3'!SCDPT3_92ENDIN_10</vt:lpstr>
      <vt:lpstr>'GMIC_2020-Annu_SCDPT3'!SCDPT3_92ENDIN_11</vt:lpstr>
      <vt:lpstr>'GMIC_2020-Annu_SCDPT3'!SCDPT3_92ENDIN_12</vt:lpstr>
      <vt:lpstr>'GMIC_2020-Annu_SCDPT3'!SCDPT3_92ENDIN_13</vt:lpstr>
      <vt:lpstr>'GMIC_2020-Annu_SCDPT3'!SCDPT3_92ENDIN_14</vt:lpstr>
      <vt:lpstr>'GMIC_2020-Annu_SCDPT3'!SCDPT3_92ENDIN_2</vt:lpstr>
      <vt:lpstr>'GMIC_2020-Annu_SCDPT3'!SCDPT3_92ENDIN_3</vt:lpstr>
      <vt:lpstr>'GMIC_2020-Annu_SCDPT3'!SCDPT3_92ENDIN_4</vt:lpstr>
      <vt:lpstr>'GMIC_2020-Annu_SCDPT3'!SCDPT3_92ENDIN_5</vt:lpstr>
      <vt:lpstr>'GMIC_2020-Annu_SCDPT3'!SCDPT3_92ENDIN_6</vt:lpstr>
      <vt:lpstr>'GMIC_2020-Annu_SCDPT3'!SCDPT3_92ENDIN_7</vt:lpstr>
      <vt:lpstr>'GMIC_2020-Annu_SCDPT3'!SCDPT3_92ENDIN_8</vt:lpstr>
      <vt:lpstr>'GMIC_2020-Annu_SCDPT3'!SCDPT3_92ENDIN_9</vt:lpstr>
      <vt:lpstr>'GMIC_2020-Annu_SCDPT3'!SCDPT3_9300000_Range</vt:lpstr>
      <vt:lpstr>'GMIC_2020-Annu_SCDPT3'!SCDPT3_9399999_7</vt:lpstr>
      <vt:lpstr>'GMIC_2020-Annu_SCDPT3'!SCDPT3_9399999_9</vt:lpstr>
      <vt:lpstr>'GMIC_2020-Annu_SCDPT3'!SCDPT3_93BEGIN_1</vt:lpstr>
      <vt:lpstr>'GMIC_2020-Annu_SCDPT3'!SCDPT3_93BEGIN_10</vt:lpstr>
      <vt:lpstr>'GMIC_2020-Annu_SCDPT3'!SCDPT3_93BEGIN_11</vt:lpstr>
      <vt:lpstr>'GMIC_2020-Annu_SCDPT3'!SCDPT3_93BEGIN_12</vt:lpstr>
      <vt:lpstr>'GMIC_2020-Annu_SCDPT3'!SCDPT3_93BEGIN_13</vt:lpstr>
      <vt:lpstr>'GMIC_2020-Annu_SCDPT3'!SCDPT3_93BEGIN_14</vt:lpstr>
      <vt:lpstr>'GMIC_2020-Annu_SCDPT3'!SCDPT3_93BEGIN_2</vt:lpstr>
      <vt:lpstr>'GMIC_2020-Annu_SCDPT3'!SCDPT3_93BEGIN_3</vt:lpstr>
      <vt:lpstr>'GMIC_2020-Annu_SCDPT3'!SCDPT3_93BEGIN_4</vt:lpstr>
      <vt:lpstr>'GMIC_2020-Annu_SCDPT3'!SCDPT3_93BEGIN_5</vt:lpstr>
      <vt:lpstr>'GMIC_2020-Annu_SCDPT3'!SCDPT3_93BEGIN_6</vt:lpstr>
      <vt:lpstr>'GMIC_2020-Annu_SCDPT3'!SCDPT3_93BEGIN_7</vt:lpstr>
      <vt:lpstr>'GMIC_2020-Annu_SCDPT3'!SCDPT3_93BEGIN_8</vt:lpstr>
      <vt:lpstr>'GMIC_2020-Annu_SCDPT3'!SCDPT3_93BEGIN_9</vt:lpstr>
      <vt:lpstr>'GMIC_2020-Annu_SCDPT3'!SCDPT3_93ENDIN_10</vt:lpstr>
      <vt:lpstr>'GMIC_2020-Annu_SCDPT3'!SCDPT3_93ENDIN_11</vt:lpstr>
      <vt:lpstr>'GMIC_2020-Annu_SCDPT3'!SCDPT3_93ENDIN_12</vt:lpstr>
      <vt:lpstr>'GMIC_2020-Annu_SCDPT3'!SCDPT3_93ENDIN_13</vt:lpstr>
      <vt:lpstr>'GMIC_2020-Annu_SCDPT3'!SCDPT3_93ENDIN_14</vt:lpstr>
      <vt:lpstr>'GMIC_2020-Annu_SCDPT3'!SCDPT3_93ENDIN_2</vt:lpstr>
      <vt:lpstr>'GMIC_2020-Annu_SCDPT3'!SCDPT3_93ENDIN_3</vt:lpstr>
      <vt:lpstr>'GMIC_2020-Annu_SCDPT3'!SCDPT3_93ENDIN_4</vt:lpstr>
      <vt:lpstr>'GMIC_2020-Annu_SCDPT3'!SCDPT3_93ENDIN_5</vt:lpstr>
      <vt:lpstr>'GMIC_2020-Annu_SCDPT3'!SCDPT3_93ENDIN_6</vt:lpstr>
      <vt:lpstr>'GMIC_2020-Annu_SCDPT3'!SCDPT3_93ENDIN_7</vt:lpstr>
      <vt:lpstr>'GMIC_2020-Annu_SCDPT3'!SCDPT3_93ENDIN_8</vt:lpstr>
      <vt:lpstr>'GMIC_2020-Annu_SCDPT3'!SCDPT3_93ENDIN_9</vt:lpstr>
      <vt:lpstr>'GMIC_2020-Annu_SCDPT3'!SCDPT3_9400000_Range</vt:lpstr>
      <vt:lpstr>'GMIC_2020-Annu_SCDPT3'!SCDPT3_9499999_7</vt:lpstr>
      <vt:lpstr>'GMIC_2020-Annu_SCDPT3'!SCDPT3_9499999_9</vt:lpstr>
      <vt:lpstr>'GMIC_2020-Annu_SCDPT3'!SCDPT3_94BEGIN_1</vt:lpstr>
      <vt:lpstr>'GMIC_2020-Annu_SCDPT3'!SCDPT3_94BEGIN_10</vt:lpstr>
      <vt:lpstr>'GMIC_2020-Annu_SCDPT3'!SCDPT3_94BEGIN_11</vt:lpstr>
      <vt:lpstr>'GMIC_2020-Annu_SCDPT3'!SCDPT3_94BEGIN_12</vt:lpstr>
      <vt:lpstr>'GMIC_2020-Annu_SCDPT3'!SCDPT3_94BEGIN_13</vt:lpstr>
      <vt:lpstr>'GMIC_2020-Annu_SCDPT3'!SCDPT3_94BEGIN_14</vt:lpstr>
      <vt:lpstr>'GMIC_2020-Annu_SCDPT3'!SCDPT3_94BEGIN_2</vt:lpstr>
      <vt:lpstr>'GMIC_2020-Annu_SCDPT3'!SCDPT3_94BEGIN_3</vt:lpstr>
      <vt:lpstr>'GMIC_2020-Annu_SCDPT3'!SCDPT3_94BEGIN_4</vt:lpstr>
      <vt:lpstr>'GMIC_2020-Annu_SCDPT3'!SCDPT3_94BEGIN_5</vt:lpstr>
      <vt:lpstr>'GMIC_2020-Annu_SCDPT3'!SCDPT3_94BEGIN_6</vt:lpstr>
      <vt:lpstr>'GMIC_2020-Annu_SCDPT3'!SCDPT3_94BEGIN_7</vt:lpstr>
      <vt:lpstr>'GMIC_2020-Annu_SCDPT3'!SCDPT3_94BEGIN_8</vt:lpstr>
      <vt:lpstr>'GMIC_2020-Annu_SCDPT3'!SCDPT3_94BEGIN_9</vt:lpstr>
      <vt:lpstr>'GMIC_2020-Annu_SCDPT3'!SCDPT3_94ENDIN_10</vt:lpstr>
      <vt:lpstr>'GMIC_2020-Annu_SCDPT3'!SCDPT3_94ENDIN_11</vt:lpstr>
      <vt:lpstr>'GMIC_2020-Annu_SCDPT3'!SCDPT3_94ENDIN_12</vt:lpstr>
      <vt:lpstr>'GMIC_2020-Annu_SCDPT3'!SCDPT3_94ENDIN_13</vt:lpstr>
      <vt:lpstr>'GMIC_2020-Annu_SCDPT3'!SCDPT3_94ENDIN_14</vt:lpstr>
      <vt:lpstr>'GMIC_2020-Annu_SCDPT3'!SCDPT3_94ENDIN_2</vt:lpstr>
      <vt:lpstr>'GMIC_2020-Annu_SCDPT3'!SCDPT3_94ENDIN_3</vt:lpstr>
      <vt:lpstr>'GMIC_2020-Annu_SCDPT3'!SCDPT3_94ENDIN_4</vt:lpstr>
      <vt:lpstr>'GMIC_2020-Annu_SCDPT3'!SCDPT3_94ENDIN_5</vt:lpstr>
      <vt:lpstr>'GMIC_2020-Annu_SCDPT3'!SCDPT3_94ENDIN_6</vt:lpstr>
      <vt:lpstr>'GMIC_2020-Annu_SCDPT3'!SCDPT3_94ENDIN_7</vt:lpstr>
      <vt:lpstr>'GMIC_2020-Annu_SCDPT3'!SCDPT3_94ENDIN_8</vt:lpstr>
      <vt:lpstr>'GMIC_2020-Annu_SCDPT3'!SCDPT3_94ENDIN_9</vt:lpstr>
      <vt:lpstr>'GMIC_2020-Annu_SCDPT3'!SCDPT3_9500000_Range</vt:lpstr>
      <vt:lpstr>'GMIC_2020-Annu_SCDPT3'!SCDPT3_9599999_7</vt:lpstr>
      <vt:lpstr>'GMIC_2020-Annu_SCDPT3'!SCDPT3_9599999_9</vt:lpstr>
      <vt:lpstr>'GMIC_2020-Annu_SCDPT3'!SCDPT3_95BEGIN_1</vt:lpstr>
      <vt:lpstr>'GMIC_2020-Annu_SCDPT3'!SCDPT3_95BEGIN_10</vt:lpstr>
      <vt:lpstr>'GMIC_2020-Annu_SCDPT3'!SCDPT3_95BEGIN_11</vt:lpstr>
      <vt:lpstr>'GMIC_2020-Annu_SCDPT3'!SCDPT3_95BEGIN_12</vt:lpstr>
      <vt:lpstr>'GMIC_2020-Annu_SCDPT3'!SCDPT3_95BEGIN_13</vt:lpstr>
      <vt:lpstr>'GMIC_2020-Annu_SCDPT3'!SCDPT3_95BEGIN_14</vt:lpstr>
      <vt:lpstr>'GMIC_2020-Annu_SCDPT3'!SCDPT3_95BEGIN_2</vt:lpstr>
      <vt:lpstr>'GMIC_2020-Annu_SCDPT3'!SCDPT3_95BEGIN_3</vt:lpstr>
      <vt:lpstr>'GMIC_2020-Annu_SCDPT3'!SCDPT3_95BEGIN_4</vt:lpstr>
      <vt:lpstr>'GMIC_2020-Annu_SCDPT3'!SCDPT3_95BEGIN_5</vt:lpstr>
      <vt:lpstr>'GMIC_2020-Annu_SCDPT3'!SCDPT3_95BEGIN_6</vt:lpstr>
      <vt:lpstr>'GMIC_2020-Annu_SCDPT3'!SCDPT3_95BEGIN_7</vt:lpstr>
      <vt:lpstr>'GMIC_2020-Annu_SCDPT3'!SCDPT3_95BEGIN_8</vt:lpstr>
      <vt:lpstr>'GMIC_2020-Annu_SCDPT3'!SCDPT3_95BEGIN_9</vt:lpstr>
      <vt:lpstr>'GMIC_2020-Annu_SCDPT3'!SCDPT3_95ENDIN_10</vt:lpstr>
      <vt:lpstr>'GMIC_2020-Annu_SCDPT3'!SCDPT3_95ENDIN_11</vt:lpstr>
      <vt:lpstr>'GMIC_2020-Annu_SCDPT3'!SCDPT3_95ENDIN_12</vt:lpstr>
      <vt:lpstr>'GMIC_2020-Annu_SCDPT3'!SCDPT3_95ENDIN_13</vt:lpstr>
      <vt:lpstr>'GMIC_2020-Annu_SCDPT3'!SCDPT3_95ENDIN_14</vt:lpstr>
      <vt:lpstr>'GMIC_2020-Annu_SCDPT3'!SCDPT3_95ENDIN_2</vt:lpstr>
      <vt:lpstr>'GMIC_2020-Annu_SCDPT3'!SCDPT3_95ENDIN_3</vt:lpstr>
      <vt:lpstr>'GMIC_2020-Annu_SCDPT3'!SCDPT3_95ENDIN_4</vt:lpstr>
      <vt:lpstr>'GMIC_2020-Annu_SCDPT3'!SCDPT3_95ENDIN_5</vt:lpstr>
      <vt:lpstr>'GMIC_2020-Annu_SCDPT3'!SCDPT3_95ENDIN_6</vt:lpstr>
      <vt:lpstr>'GMIC_2020-Annu_SCDPT3'!SCDPT3_95ENDIN_7</vt:lpstr>
      <vt:lpstr>'GMIC_2020-Annu_SCDPT3'!SCDPT3_95ENDIN_8</vt:lpstr>
      <vt:lpstr>'GMIC_2020-Annu_SCDPT3'!SCDPT3_95ENDIN_9</vt:lpstr>
      <vt:lpstr>'GMIC_2020-Annu_SCDPT3'!SCDPT3_9600000_Range</vt:lpstr>
      <vt:lpstr>'GMIC_2020-Annu_SCDPT3'!SCDPT3_9699999_7</vt:lpstr>
      <vt:lpstr>'GMIC_2020-Annu_SCDPT3'!SCDPT3_9699999_9</vt:lpstr>
      <vt:lpstr>'GMIC_2020-Annu_SCDPT3'!SCDPT3_96BEGIN_1</vt:lpstr>
      <vt:lpstr>'GMIC_2020-Annu_SCDPT3'!SCDPT3_96BEGIN_10</vt:lpstr>
      <vt:lpstr>'GMIC_2020-Annu_SCDPT3'!SCDPT3_96BEGIN_11</vt:lpstr>
      <vt:lpstr>'GMIC_2020-Annu_SCDPT3'!SCDPT3_96BEGIN_12</vt:lpstr>
      <vt:lpstr>'GMIC_2020-Annu_SCDPT3'!SCDPT3_96BEGIN_13</vt:lpstr>
      <vt:lpstr>'GMIC_2020-Annu_SCDPT3'!SCDPT3_96BEGIN_14</vt:lpstr>
      <vt:lpstr>'GMIC_2020-Annu_SCDPT3'!SCDPT3_96BEGIN_2</vt:lpstr>
      <vt:lpstr>'GMIC_2020-Annu_SCDPT3'!SCDPT3_96BEGIN_3</vt:lpstr>
      <vt:lpstr>'GMIC_2020-Annu_SCDPT3'!SCDPT3_96BEGIN_4</vt:lpstr>
      <vt:lpstr>'GMIC_2020-Annu_SCDPT3'!SCDPT3_96BEGIN_5</vt:lpstr>
      <vt:lpstr>'GMIC_2020-Annu_SCDPT3'!SCDPT3_96BEGIN_6</vt:lpstr>
      <vt:lpstr>'GMIC_2020-Annu_SCDPT3'!SCDPT3_96BEGIN_7</vt:lpstr>
      <vt:lpstr>'GMIC_2020-Annu_SCDPT3'!SCDPT3_96BEGIN_8</vt:lpstr>
      <vt:lpstr>'GMIC_2020-Annu_SCDPT3'!SCDPT3_96BEGIN_9</vt:lpstr>
      <vt:lpstr>'GMIC_2020-Annu_SCDPT3'!SCDPT3_96ENDIN_10</vt:lpstr>
      <vt:lpstr>'GMIC_2020-Annu_SCDPT3'!SCDPT3_96ENDIN_11</vt:lpstr>
      <vt:lpstr>'GMIC_2020-Annu_SCDPT3'!SCDPT3_96ENDIN_12</vt:lpstr>
      <vt:lpstr>'GMIC_2020-Annu_SCDPT3'!SCDPT3_96ENDIN_13</vt:lpstr>
      <vt:lpstr>'GMIC_2020-Annu_SCDPT3'!SCDPT3_96ENDIN_14</vt:lpstr>
      <vt:lpstr>'GMIC_2020-Annu_SCDPT3'!SCDPT3_96ENDIN_2</vt:lpstr>
      <vt:lpstr>'GMIC_2020-Annu_SCDPT3'!SCDPT3_96ENDIN_3</vt:lpstr>
      <vt:lpstr>'GMIC_2020-Annu_SCDPT3'!SCDPT3_96ENDIN_4</vt:lpstr>
      <vt:lpstr>'GMIC_2020-Annu_SCDPT3'!SCDPT3_96ENDIN_5</vt:lpstr>
      <vt:lpstr>'GMIC_2020-Annu_SCDPT3'!SCDPT3_96ENDIN_6</vt:lpstr>
      <vt:lpstr>'GMIC_2020-Annu_SCDPT3'!SCDPT3_96ENDIN_7</vt:lpstr>
      <vt:lpstr>'GMIC_2020-Annu_SCDPT3'!SCDPT3_96ENDIN_8</vt:lpstr>
      <vt:lpstr>'GMIC_2020-Annu_SCDPT3'!SCDPT3_96ENDIN_9</vt:lpstr>
      <vt:lpstr>'GMIC_2020-Annu_SCDPT3'!SCDPT3_9799997_7</vt:lpstr>
      <vt:lpstr>'GMIC_2020-Annu_SCDPT3'!SCDPT3_9799997_9</vt:lpstr>
      <vt:lpstr>'GMIC_2020-Annu_SCDPT3'!SCDPT3_9799998_7</vt:lpstr>
      <vt:lpstr>'GMIC_2020-Annu_SCDPT3'!SCDPT3_9799998_9</vt:lpstr>
      <vt:lpstr>'GMIC_2020-Annu_SCDPT3'!SCDPT3_9799999_7</vt:lpstr>
      <vt:lpstr>'GMIC_2020-Annu_SCDPT3'!SCDPT3_9799999_9</vt:lpstr>
      <vt:lpstr>'GMIC_2020-Annu_SCDPT3'!SCDPT3_9899999_7</vt:lpstr>
      <vt:lpstr>'GMIC_2020-Annu_SCDPT3'!SCDPT3_9899999_9</vt:lpstr>
      <vt:lpstr>'GMIC_2020-Annu_SCDPT3'!SCDPT3_9999999_7</vt:lpstr>
      <vt:lpstr>'GMIC_2020-Annu_SCDPT3'!SCDPT3_9999999_9</vt:lpstr>
      <vt:lpstr>'GMIC_2020-Annu_SCDPT4'!SCDPT4_0500000_Range</vt:lpstr>
      <vt:lpstr>'GMIC_2020-Annu_SCDPT4'!SCDPT4_0500001_1</vt:lpstr>
      <vt:lpstr>'GMIC_2020-Annu_SCDPT4'!SCDPT4_0500001_10</vt:lpstr>
      <vt:lpstr>'GMIC_2020-Annu_SCDPT4'!SCDPT4_0500001_11</vt:lpstr>
      <vt:lpstr>'GMIC_2020-Annu_SCDPT4'!SCDPT4_0500001_12</vt:lpstr>
      <vt:lpstr>'GMIC_2020-Annu_SCDPT4'!SCDPT4_0500001_13</vt:lpstr>
      <vt:lpstr>'GMIC_2020-Annu_SCDPT4'!SCDPT4_0500001_14</vt:lpstr>
      <vt:lpstr>'GMIC_2020-Annu_SCDPT4'!SCDPT4_0500001_15</vt:lpstr>
      <vt:lpstr>'GMIC_2020-Annu_SCDPT4'!SCDPT4_0500001_16</vt:lpstr>
      <vt:lpstr>'GMIC_2020-Annu_SCDPT4'!SCDPT4_0500001_17</vt:lpstr>
      <vt:lpstr>'GMIC_2020-Annu_SCDPT4'!SCDPT4_0500001_18</vt:lpstr>
      <vt:lpstr>'GMIC_2020-Annu_SCDPT4'!SCDPT4_0500001_19</vt:lpstr>
      <vt:lpstr>'GMIC_2020-Annu_SCDPT4'!SCDPT4_0500001_2</vt:lpstr>
      <vt:lpstr>'GMIC_2020-Annu_SCDPT4'!SCDPT4_0500001_20</vt:lpstr>
      <vt:lpstr>'GMIC_2020-Annu_SCDPT4'!SCDPT4_0500001_21</vt:lpstr>
      <vt:lpstr>'GMIC_2020-Annu_SCDPT4'!SCDPT4_0500001_23</vt:lpstr>
      <vt:lpstr>'GMIC_2020-Annu_SCDPT4'!SCDPT4_0500001_24</vt:lpstr>
      <vt:lpstr>'GMIC_2020-Annu_SCDPT4'!SCDPT4_0500001_25</vt:lpstr>
      <vt:lpstr>'GMIC_2020-Annu_SCDPT4'!SCDPT4_0500001_26</vt:lpstr>
      <vt:lpstr>'GMIC_2020-Annu_SCDPT4'!SCDPT4_0500001_3</vt:lpstr>
      <vt:lpstr>'GMIC_2020-Annu_SCDPT4'!SCDPT4_0500001_4</vt:lpstr>
      <vt:lpstr>'GMIC_2020-Annu_SCDPT4'!SCDPT4_0500001_5</vt:lpstr>
      <vt:lpstr>'GMIC_2020-Annu_SCDPT4'!SCDPT4_0500001_7</vt:lpstr>
      <vt:lpstr>'GMIC_2020-Annu_SCDPT4'!SCDPT4_0500001_8</vt:lpstr>
      <vt:lpstr>'GMIC_2020-Annu_SCDPT4'!SCDPT4_0500001_9</vt:lpstr>
      <vt:lpstr>'GMIC_2020-Annu_SCDPT4'!SCDPT4_0599999_10</vt:lpstr>
      <vt:lpstr>'GMIC_2020-Annu_SCDPT4'!SCDPT4_0599999_11</vt:lpstr>
      <vt:lpstr>'GMIC_2020-Annu_SCDPT4'!SCDPT4_0599999_12</vt:lpstr>
      <vt:lpstr>'GMIC_2020-Annu_SCDPT4'!SCDPT4_0599999_13</vt:lpstr>
      <vt:lpstr>'GMIC_2020-Annu_SCDPT4'!SCDPT4_0599999_14</vt:lpstr>
      <vt:lpstr>'GMIC_2020-Annu_SCDPT4'!SCDPT4_0599999_15</vt:lpstr>
      <vt:lpstr>'GMIC_2020-Annu_SCDPT4'!SCDPT4_0599999_16</vt:lpstr>
      <vt:lpstr>'GMIC_2020-Annu_SCDPT4'!SCDPT4_0599999_17</vt:lpstr>
      <vt:lpstr>'GMIC_2020-Annu_SCDPT4'!SCDPT4_0599999_18</vt:lpstr>
      <vt:lpstr>'GMIC_2020-Annu_SCDPT4'!SCDPT4_0599999_19</vt:lpstr>
      <vt:lpstr>'GMIC_2020-Annu_SCDPT4'!SCDPT4_0599999_20</vt:lpstr>
      <vt:lpstr>'GMIC_2020-Annu_SCDPT4'!SCDPT4_0599999_7</vt:lpstr>
      <vt:lpstr>'GMIC_2020-Annu_SCDPT4'!SCDPT4_0599999_8</vt:lpstr>
      <vt:lpstr>'GMIC_2020-Annu_SCDPT4'!SCDPT4_0599999_9</vt:lpstr>
      <vt:lpstr>'GMIC_2020-Annu_SCDPT4'!SCDPT4_05BEGIN_1</vt:lpstr>
      <vt:lpstr>'GMIC_2020-Annu_SCDPT4'!SCDPT4_05BEGIN_10</vt:lpstr>
      <vt:lpstr>'GMIC_2020-Annu_SCDPT4'!SCDPT4_05BEGIN_11</vt:lpstr>
      <vt:lpstr>'GMIC_2020-Annu_SCDPT4'!SCDPT4_05BEGIN_12</vt:lpstr>
      <vt:lpstr>'GMIC_2020-Annu_SCDPT4'!SCDPT4_05BEGIN_13</vt:lpstr>
      <vt:lpstr>'GMIC_2020-Annu_SCDPT4'!SCDPT4_05BEGIN_14</vt:lpstr>
      <vt:lpstr>'GMIC_2020-Annu_SCDPT4'!SCDPT4_05BEGIN_15</vt:lpstr>
      <vt:lpstr>'GMIC_2020-Annu_SCDPT4'!SCDPT4_05BEGIN_16</vt:lpstr>
      <vt:lpstr>'GMIC_2020-Annu_SCDPT4'!SCDPT4_05BEGIN_17</vt:lpstr>
      <vt:lpstr>'GMIC_2020-Annu_SCDPT4'!SCDPT4_05BEGIN_18</vt:lpstr>
      <vt:lpstr>'GMIC_2020-Annu_SCDPT4'!SCDPT4_05BEGIN_19</vt:lpstr>
      <vt:lpstr>'GMIC_2020-Annu_SCDPT4'!SCDPT4_05BEGIN_2</vt:lpstr>
      <vt:lpstr>'GMIC_2020-Annu_SCDPT4'!SCDPT4_05BEGIN_20</vt:lpstr>
      <vt:lpstr>'GMIC_2020-Annu_SCDPT4'!SCDPT4_05BEGIN_21</vt:lpstr>
      <vt:lpstr>'GMIC_2020-Annu_SCDPT4'!SCDPT4_05BEGIN_22</vt:lpstr>
      <vt:lpstr>'GMIC_2020-Annu_SCDPT4'!SCDPT4_05BEGIN_23</vt:lpstr>
      <vt:lpstr>'GMIC_2020-Annu_SCDPT4'!SCDPT4_05BEGIN_24</vt:lpstr>
      <vt:lpstr>'GMIC_2020-Annu_SCDPT4'!SCDPT4_05BEGIN_25</vt:lpstr>
      <vt:lpstr>'GMIC_2020-Annu_SCDPT4'!SCDPT4_05BEGIN_26</vt:lpstr>
      <vt:lpstr>'GMIC_2020-Annu_SCDPT4'!SCDPT4_05BEGIN_3</vt:lpstr>
      <vt:lpstr>'GMIC_2020-Annu_SCDPT4'!SCDPT4_05BEGIN_4</vt:lpstr>
      <vt:lpstr>'GMIC_2020-Annu_SCDPT4'!SCDPT4_05BEGIN_5</vt:lpstr>
      <vt:lpstr>'GMIC_2020-Annu_SCDPT4'!SCDPT4_05BEGIN_6</vt:lpstr>
      <vt:lpstr>'GMIC_2020-Annu_SCDPT4'!SCDPT4_05BEGIN_7</vt:lpstr>
      <vt:lpstr>'GMIC_2020-Annu_SCDPT4'!SCDPT4_05BEGIN_8</vt:lpstr>
      <vt:lpstr>'GMIC_2020-Annu_SCDPT4'!SCDPT4_05BEGIN_9</vt:lpstr>
      <vt:lpstr>'GMIC_2020-Annu_SCDPT4'!SCDPT4_05ENDIN_10</vt:lpstr>
      <vt:lpstr>'GMIC_2020-Annu_SCDPT4'!SCDPT4_05ENDIN_11</vt:lpstr>
      <vt:lpstr>'GMIC_2020-Annu_SCDPT4'!SCDPT4_05ENDIN_12</vt:lpstr>
      <vt:lpstr>'GMIC_2020-Annu_SCDPT4'!SCDPT4_05ENDIN_13</vt:lpstr>
      <vt:lpstr>'GMIC_2020-Annu_SCDPT4'!SCDPT4_05ENDIN_14</vt:lpstr>
      <vt:lpstr>'GMIC_2020-Annu_SCDPT4'!SCDPT4_05ENDIN_15</vt:lpstr>
      <vt:lpstr>'GMIC_2020-Annu_SCDPT4'!SCDPT4_05ENDIN_16</vt:lpstr>
      <vt:lpstr>'GMIC_2020-Annu_SCDPT4'!SCDPT4_05ENDIN_17</vt:lpstr>
      <vt:lpstr>'GMIC_2020-Annu_SCDPT4'!SCDPT4_05ENDIN_18</vt:lpstr>
      <vt:lpstr>'GMIC_2020-Annu_SCDPT4'!SCDPT4_05ENDIN_19</vt:lpstr>
      <vt:lpstr>'GMIC_2020-Annu_SCDPT4'!SCDPT4_05ENDIN_2</vt:lpstr>
      <vt:lpstr>'GMIC_2020-Annu_SCDPT4'!SCDPT4_05ENDIN_20</vt:lpstr>
      <vt:lpstr>'GMIC_2020-Annu_SCDPT4'!SCDPT4_05ENDIN_21</vt:lpstr>
      <vt:lpstr>'GMIC_2020-Annu_SCDPT4'!SCDPT4_05ENDIN_22</vt:lpstr>
      <vt:lpstr>'GMIC_2020-Annu_SCDPT4'!SCDPT4_05ENDIN_23</vt:lpstr>
      <vt:lpstr>'GMIC_2020-Annu_SCDPT4'!SCDPT4_05ENDIN_24</vt:lpstr>
      <vt:lpstr>'GMIC_2020-Annu_SCDPT4'!SCDPT4_05ENDIN_25</vt:lpstr>
      <vt:lpstr>'GMIC_2020-Annu_SCDPT4'!SCDPT4_05ENDIN_26</vt:lpstr>
      <vt:lpstr>'GMIC_2020-Annu_SCDPT4'!SCDPT4_05ENDIN_3</vt:lpstr>
      <vt:lpstr>'GMIC_2020-Annu_SCDPT4'!SCDPT4_05ENDIN_4</vt:lpstr>
      <vt:lpstr>'GMIC_2020-Annu_SCDPT4'!SCDPT4_05ENDIN_5</vt:lpstr>
      <vt:lpstr>'GMIC_2020-Annu_SCDPT4'!SCDPT4_05ENDIN_6</vt:lpstr>
      <vt:lpstr>'GMIC_2020-Annu_SCDPT4'!SCDPT4_05ENDIN_7</vt:lpstr>
      <vt:lpstr>'GMIC_2020-Annu_SCDPT4'!SCDPT4_05ENDIN_8</vt:lpstr>
      <vt:lpstr>'GMIC_2020-Annu_SCDPT4'!SCDPT4_05ENDIN_9</vt:lpstr>
      <vt:lpstr>'GMIC_2020-Annu_SCDPT4'!SCDPT4_1000000_Range</vt:lpstr>
      <vt:lpstr>'GMIC_2020-Annu_SCDPT4'!SCDPT4_1099999_10</vt:lpstr>
      <vt:lpstr>'GMIC_2020-Annu_SCDPT4'!SCDPT4_1099999_11</vt:lpstr>
      <vt:lpstr>'GMIC_2020-Annu_SCDPT4'!SCDPT4_1099999_12</vt:lpstr>
      <vt:lpstr>'GMIC_2020-Annu_SCDPT4'!SCDPT4_1099999_13</vt:lpstr>
      <vt:lpstr>'GMIC_2020-Annu_SCDPT4'!SCDPT4_1099999_14</vt:lpstr>
      <vt:lpstr>'GMIC_2020-Annu_SCDPT4'!SCDPT4_1099999_15</vt:lpstr>
      <vt:lpstr>'GMIC_2020-Annu_SCDPT4'!SCDPT4_1099999_16</vt:lpstr>
      <vt:lpstr>'GMIC_2020-Annu_SCDPT4'!SCDPT4_1099999_17</vt:lpstr>
      <vt:lpstr>'GMIC_2020-Annu_SCDPT4'!SCDPT4_1099999_18</vt:lpstr>
      <vt:lpstr>'GMIC_2020-Annu_SCDPT4'!SCDPT4_1099999_19</vt:lpstr>
      <vt:lpstr>'GMIC_2020-Annu_SCDPT4'!SCDPT4_1099999_20</vt:lpstr>
      <vt:lpstr>'GMIC_2020-Annu_SCDPT4'!SCDPT4_1099999_7</vt:lpstr>
      <vt:lpstr>'GMIC_2020-Annu_SCDPT4'!SCDPT4_1099999_8</vt:lpstr>
      <vt:lpstr>'GMIC_2020-Annu_SCDPT4'!SCDPT4_1099999_9</vt:lpstr>
      <vt:lpstr>'GMIC_2020-Annu_SCDPT4'!SCDPT4_10BEGIN_1</vt:lpstr>
      <vt:lpstr>'GMIC_2020-Annu_SCDPT4'!SCDPT4_10BEGIN_10</vt:lpstr>
      <vt:lpstr>'GMIC_2020-Annu_SCDPT4'!SCDPT4_10BEGIN_11</vt:lpstr>
      <vt:lpstr>'GMIC_2020-Annu_SCDPT4'!SCDPT4_10BEGIN_12</vt:lpstr>
      <vt:lpstr>'GMIC_2020-Annu_SCDPT4'!SCDPT4_10BEGIN_13</vt:lpstr>
      <vt:lpstr>'GMIC_2020-Annu_SCDPT4'!SCDPT4_10BEGIN_14</vt:lpstr>
      <vt:lpstr>'GMIC_2020-Annu_SCDPT4'!SCDPT4_10BEGIN_15</vt:lpstr>
      <vt:lpstr>'GMIC_2020-Annu_SCDPT4'!SCDPT4_10BEGIN_16</vt:lpstr>
      <vt:lpstr>'GMIC_2020-Annu_SCDPT4'!SCDPT4_10BEGIN_17</vt:lpstr>
      <vt:lpstr>'GMIC_2020-Annu_SCDPT4'!SCDPT4_10BEGIN_18</vt:lpstr>
      <vt:lpstr>'GMIC_2020-Annu_SCDPT4'!SCDPT4_10BEGIN_19</vt:lpstr>
      <vt:lpstr>'GMIC_2020-Annu_SCDPT4'!SCDPT4_10BEGIN_2</vt:lpstr>
      <vt:lpstr>'GMIC_2020-Annu_SCDPT4'!SCDPT4_10BEGIN_20</vt:lpstr>
      <vt:lpstr>'GMIC_2020-Annu_SCDPT4'!SCDPT4_10BEGIN_21</vt:lpstr>
      <vt:lpstr>'GMIC_2020-Annu_SCDPT4'!SCDPT4_10BEGIN_22</vt:lpstr>
      <vt:lpstr>'GMIC_2020-Annu_SCDPT4'!SCDPT4_10BEGIN_23</vt:lpstr>
      <vt:lpstr>'GMIC_2020-Annu_SCDPT4'!SCDPT4_10BEGIN_24</vt:lpstr>
      <vt:lpstr>'GMIC_2020-Annu_SCDPT4'!SCDPT4_10BEGIN_25</vt:lpstr>
      <vt:lpstr>'GMIC_2020-Annu_SCDPT4'!SCDPT4_10BEGIN_26</vt:lpstr>
      <vt:lpstr>'GMIC_2020-Annu_SCDPT4'!SCDPT4_10BEGIN_3</vt:lpstr>
      <vt:lpstr>'GMIC_2020-Annu_SCDPT4'!SCDPT4_10BEGIN_4</vt:lpstr>
      <vt:lpstr>'GMIC_2020-Annu_SCDPT4'!SCDPT4_10BEGIN_5</vt:lpstr>
      <vt:lpstr>'GMIC_2020-Annu_SCDPT4'!SCDPT4_10BEGIN_6</vt:lpstr>
      <vt:lpstr>'GMIC_2020-Annu_SCDPT4'!SCDPT4_10BEGIN_7</vt:lpstr>
      <vt:lpstr>'GMIC_2020-Annu_SCDPT4'!SCDPT4_10BEGIN_8</vt:lpstr>
      <vt:lpstr>'GMIC_2020-Annu_SCDPT4'!SCDPT4_10BEGIN_9</vt:lpstr>
      <vt:lpstr>'GMIC_2020-Annu_SCDPT4'!SCDPT4_10ENDIN_10</vt:lpstr>
      <vt:lpstr>'GMIC_2020-Annu_SCDPT4'!SCDPT4_10ENDIN_11</vt:lpstr>
      <vt:lpstr>'GMIC_2020-Annu_SCDPT4'!SCDPT4_10ENDIN_12</vt:lpstr>
      <vt:lpstr>'GMIC_2020-Annu_SCDPT4'!SCDPT4_10ENDIN_13</vt:lpstr>
      <vt:lpstr>'GMIC_2020-Annu_SCDPT4'!SCDPT4_10ENDIN_14</vt:lpstr>
      <vt:lpstr>'GMIC_2020-Annu_SCDPT4'!SCDPT4_10ENDIN_15</vt:lpstr>
      <vt:lpstr>'GMIC_2020-Annu_SCDPT4'!SCDPT4_10ENDIN_16</vt:lpstr>
      <vt:lpstr>'GMIC_2020-Annu_SCDPT4'!SCDPT4_10ENDIN_17</vt:lpstr>
      <vt:lpstr>'GMIC_2020-Annu_SCDPT4'!SCDPT4_10ENDIN_18</vt:lpstr>
      <vt:lpstr>'GMIC_2020-Annu_SCDPT4'!SCDPT4_10ENDIN_19</vt:lpstr>
      <vt:lpstr>'GMIC_2020-Annu_SCDPT4'!SCDPT4_10ENDIN_2</vt:lpstr>
      <vt:lpstr>'GMIC_2020-Annu_SCDPT4'!SCDPT4_10ENDIN_20</vt:lpstr>
      <vt:lpstr>'GMIC_2020-Annu_SCDPT4'!SCDPT4_10ENDIN_21</vt:lpstr>
      <vt:lpstr>'GMIC_2020-Annu_SCDPT4'!SCDPT4_10ENDIN_22</vt:lpstr>
      <vt:lpstr>'GMIC_2020-Annu_SCDPT4'!SCDPT4_10ENDIN_23</vt:lpstr>
      <vt:lpstr>'GMIC_2020-Annu_SCDPT4'!SCDPT4_10ENDIN_24</vt:lpstr>
      <vt:lpstr>'GMIC_2020-Annu_SCDPT4'!SCDPT4_10ENDIN_25</vt:lpstr>
      <vt:lpstr>'GMIC_2020-Annu_SCDPT4'!SCDPT4_10ENDIN_26</vt:lpstr>
      <vt:lpstr>'GMIC_2020-Annu_SCDPT4'!SCDPT4_10ENDIN_3</vt:lpstr>
      <vt:lpstr>'GMIC_2020-Annu_SCDPT4'!SCDPT4_10ENDIN_4</vt:lpstr>
      <vt:lpstr>'GMIC_2020-Annu_SCDPT4'!SCDPT4_10ENDIN_5</vt:lpstr>
      <vt:lpstr>'GMIC_2020-Annu_SCDPT4'!SCDPT4_10ENDIN_6</vt:lpstr>
      <vt:lpstr>'GMIC_2020-Annu_SCDPT4'!SCDPT4_10ENDIN_7</vt:lpstr>
      <vt:lpstr>'GMIC_2020-Annu_SCDPT4'!SCDPT4_10ENDIN_8</vt:lpstr>
      <vt:lpstr>'GMIC_2020-Annu_SCDPT4'!SCDPT4_10ENDIN_9</vt:lpstr>
      <vt:lpstr>'GMIC_2020-Annu_SCDPT4'!SCDPT4_1700000_Range</vt:lpstr>
      <vt:lpstr>'GMIC_2020-Annu_SCDPT4'!SCDPT4_1799999_10</vt:lpstr>
      <vt:lpstr>'GMIC_2020-Annu_SCDPT4'!SCDPT4_1799999_11</vt:lpstr>
      <vt:lpstr>'GMIC_2020-Annu_SCDPT4'!SCDPT4_1799999_12</vt:lpstr>
      <vt:lpstr>'GMIC_2020-Annu_SCDPT4'!SCDPT4_1799999_13</vt:lpstr>
      <vt:lpstr>'GMIC_2020-Annu_SCDPT4'!SCDPT4_1799999_14</vt:lpstr>
      <vt:lpstr>'GMIC_2020-Annu_SCDPT4'!SCDPT4_1799999_15</vt:lpstr>
      <vt:lpstr>'GMIC_2020-Annu_SCDPT4'!SCDPT4_1799999_16</vt:lpstr>
      <vt:lpstr>'GMIC_2020-Annu_SCDPT4'!SCDPT4_1799999_17</vt:lpstr>
      <vt:lpstr>'GMIC_2020-Annu_SCDPT4'!SCDPT4_1799999_18</vt:lpstr>
      <vt:lpstr>'GMIC_2020-Annu_SCDPT4'!SCDPT4_1799999_19</vt:lpstr>
      <vt:lpstr>'GMIC_2020-Annu_SCDPT4'!SCDPT4_1799999_20</vt:lpstr>
      <vt:lpstr>'GMIC_2020-Annu_SCDPT4'!SCDPT4_1799999_7</vt:lpstr>
      <vt:lpstr>'GMIC_2020-Annu_SCDPT4'!SCDPT4_1799999_8</vt:lpstr>
      <vt:lpstr>'GMIC_2020-Annu_SCDPT4'!SCDPT4_1799999_9</vt:lpstr>
      <vt:lpstr>'GMIC_2020-Annu_SCDPT4'!SCDPT4_17BEGIN_1</vt:lpstr>
      <vt:lpstr>'GMIC_2020-Annu_SCDPT4'!SCDPT4_17BEGIN_10</vt:lpstr>
      <vt:lpstr>'GMIC_2020-Annu_SCDPT4'!SCDPT4_17BEGIN_11</vt:lpstr>
      <vt:lpstr>'GMIC_2020-Annu_SCDPT4'!SCDPT4_17BEGIN_12</vt:lpstr>
      <vt:lpstr>'GMIC_2020-Annu_SCDPT4'!SCDPT4_17BEGIN_13</vt:lpstr>
      <vt:lpstr>'GMIC_2020-Annu_SCDPT4'!SCDPT4_17BEGIN_14</vt:lpstr>
      <vt:lpstr>'GMIC_2020-Annu_SCDPT4'!SCDPT4_17BEGIN_15</vt:lpstr>
      <vt:lpstr>'GMIC_2020-Annu_SCDPT4'!SCDPT4_17BEGIN_16</vt:lpstr>
      <vt:lpstr>'GMIC_2020-Annu_SCDPT4'!SCDPT4_17BEGIN_17</vt:lpstr>
      <vt:lpstr>'GMIC_2020-Annu_SCDPT4'!SCDPT4_17BEGIN_18</vt:lpstr>
      <vt:lpstr>'GMIC_2020-Annu_SCDPT4'!SCDPT4_17BEGIN_19</vt:lpstr>
      <vt:lpstr>'GMIC_2020-Annu_SCDPT4'!SCDPT4_17BEGIN_2</vt:lpstr>
      <vt:lpstr>'GMIC_2020-Annu_SCDPT4'!SCDPT4_17BEGIN_20</vt:lpstr>
      <vt:lpstr>'GMIC_2020-Annu_SCDPT4'!SCDPT4_17BEGIN_21</vt:lpstr>
      <vt:lpstr>'GMIC_2020-Annu_SCDPT4'!SCDPT4_17BEGIN_22</vt:lpstr>
      <vt:lpstr>'GMIC_2020-Annu_SCDPT4'!SCDPT4_17BEGIN_23</vt:lpstr>
      <vt:lpstr>'GMIC_2020-Annu_SCDPT4'!SCDPT4_17BEGIN_24</vt:lpstr>
      <vt:lpstr>'GMIC_2020-Annu_SCDPT4'!SCDPT4_17BEGIN_25</vt:lpstr>
      <vt:lpstr>'GMIC_2020-Annu_SCDPT4'!SCDPT4_17BEGIN_26</vt:lpstr>
      <vt:lpstr>'GMIC_2020-Annu_SCDPT4'!SCDPT4_17BEGIN_3</vt:lpstr>
      <vt:lpstr>'GMIC_2020-Annu_SCDPT4'!SCDPT4_17BEGIN_4</vt:lpstr>
      <vt:lpstr>'GMIC_2020-Annu_SCDPT4'!SCDPT4_17BEGIN_5</vt:lpstr>
      <vt:lpstr>'GMIC_2020-Annu_SCDPT4'!SCDPT4_17BEGIN_6</vt:lpstr>
      <vt:lpstr>'GMIC_2020-Annu_SCDPT4'!SCDPT4_17BEGIN_7</vt:lpstr>
      <vt:lpstr>'GMIC_2020-Annu_SCDPT4'!SCDPT4_17BEGIN_8</vt:lpstr>
      <vt:lpstr>'GMIC_2020-Annu_SCDPT4'!SCDPT4_17BEGIN_9</vt:lpstr>
      <vt:lpstr>'GMIC_2020-Annu_SCDPT4'!SCDPT4_17ENDIN_10</vt:lpstr>
      <vt:lpstr>'GMIC_2020-Annu_SCDPT4'!SCDPT4_17ENDIN_11</vt:lpstr>
      <vt:lpstr>'GMIC_2020-Annu_SCDPT4'!SCDPT4_17ENDIN_12</vt:lpstr>
      <vt:lpstr>'GMIC_2020-Annu_SCDPT4'!SCDPT4_17ENDIN_13</vt:lpstr>
      <vt:lpstr>'GMIC_2020-Annu_SCDPT4'!SCDPT4_17ENDIN_14</vt:lpstr>
      <vt:lpstr>'GMIC_2020-Annu_SCDPT4'!SCDPT4_17ENDIN_15</vt:lpstr>
      <vt:lpstr>'GMIC_2020-Annu_SCDPT4'!SCDPT4_17ENDIN_16</vt:lpstr>
      <vt:lpstr>'GMIC_2020-Annu_SCDPT4'!SCDPT4_17ENDIN_17</vt:lpstr>
      <vt:lpstr>'GMIC_2020-Annu_SCDPT4'!SCDPT4_17ENDIN_18</vt:lpstr>
      <vt:lpstr>'GMIC_2020-Annu_SCDPT4'!SCDPT4_17ENDIN_19</vt:lpstr>
      <vt:lpstr>'GMIC_2020-Annu_SCDPT4'!SCDPT4_17ENDIN_2</vt:lpstr>
      <vt:lpstr>'GMIC_2020-Annu_SCDPT4'!SCDPT4_17ENDIN_20</vt:lpstr>
      <vt:lpstr>'GMIC_2020-Annu_SCDPT4'!SCDPT4_17ENDIN_21</vt:lpstr>
      <vt:lpstr>'GMIC_2020-Annu_SCDPT4'!SCDPT4_17ENDIN_22</vt:lpstr>
      <vt:lpstr>'GMIC_2020-Annu_SCDPT4'!SCDPT4_17ENDIN_23</vt:lpstr>
      <vt:lpstr>'GMIC_2020-Annu_SCDPT4'!SCDPT4_17ENDIN_24</vt:lpstr>
      <vt:lpstr>'GMIC_2020-Annu_SCDPT4'!SCDPT4_17ENDIN_25</vt:lpstr>
      <vt:lpstr>'GMIC_2020-Annu_SCDPT4'!SCDPT4_17ENDIN_26</vt:lpstr>
      <vt:lpstr>'GMIC_2020-Annu_SCDPT4'!SCDPT4_17ENDIN_3</vt:lpstr>
      <vt:lpstr>'GMIC_2020-Annu_SCDPT4'!SCDPT4_17ENDIN_4</vt:lpstr>
      <vt:lpstr>'GMIC_2020-Annu_SCDPT4'!SCDPT4_17ENDIN_5</vt:lpstr>
      <vt:lpstr>'GMIC_2020-Annu_SCDPT4'!SCDPT4_17ENDIN_6</vt:lpstr>
      <vt:lpstr>'GMIC_2020-Annu_SCDPT4'!SCDPT4_17ENDIN_7</vt:lpstr>
      <vt:lpstr>'GMIC_2020-Annu_SCDPT4'!SCDPT4_17ENDIN_8</vt:lpstr>
      <vt:lpstr>'GMIC_2020-Annu_SCDPT4'!SCDPT4_17ENDIN_9</vt:lpstr>
      <vt:lpstr>'GMIC_2020-Annu_SCDPT4'!SCDPT4_2400000_Range</vt:lpstr>
      <vt:lpstr>'GMIC_2020-Annu_SCDPT4'!SCDPT4_2400001_1</vt:lpstr>
      <vt:lpstr>'GMIC_2020-Annu_SCDPT4'!SCDPT4_2400001_10</vt:lpstr>
      <vt:lpstr>'GMIC_2020-Annu_SCDPT4'!SCDPT4_2400001_11</vt:lpstr>
      <vt:lpstr>'GMIC_2020-Annu_SCDPT4'!SCDPT4_2400001_12</vt:lpstr>
      <vt:lpstr>'GMIC_2020-Annu_SCDPT4'!SCDPT4_2400001_13</vt:lpstr>
      <vt:lpstr>'GMIC_2020-Annu_SCDPT4'!SCDPT4_2400001_14</vt:lpstr>
      <vt:lpstr>'GMIC_2020-Annu_SCDPT4'!SCDPT4_2400001_15</vt:lpstr>
      <vt:lpstr>'GMIC_2020-Annu_SCDPT4'!SCDPT4_2400001_16</vt:lpstr>
      <vt:lpstr>'GMIC_2020-Annu_SCDPT4'!SCDPT4_2400001_17</vt:lpstr>
      <vt:lpstr>'GMIC_2020-Annu_SCDPT4'!SCDPT4_2400001_18</vt:lpstr>
      <vt:lpstr>'GMIC_2020-Annu_SCDPT4'!SCDPT4_2400001_19</vt:lpstr>
      <vt:lpstr>'GMIC_2020-Annu_SCDPT4'!SCDPT4_2400001_2</vt:lpstr>
      <vt:lpstr>'GMIC_2020-Annu_SCDPT4'!SCDPT4_2400001_20</vt:lpstr>
      <vt:lpstr>'GMIC_2020-Annu_SCDPT4'!SCDPT4_2400001_21</vt:lpstr>
      <vt:lpstr>'GMIC_2020-Annu_SCDPT4'!SCDPT4_2400001_22</vt:lpstr>
      <vt:lpstr>'GMIC_2020-Annu_SCDPT4'!SCDPT4_2400001_23</vt:lpstr>
      <vt:lpstr>'GMIC_2020-Annu_SCDPT4'!SCDPT4_2400001_24</vt:lpstr>
      <vt:lpstr>'GMIC_2020-Annu_SCDPT4'!SCDPT4_2400001_25</vt:lpstr>
      <vt:lpstr>'GMIC_2020-Annu_SCDPT4'!SCDPT4_2400001_26</vt:lpstr>
      <vt:lpstr>'GMIC_2020-Annu_SCDPT4'!SCDPT4_2400001_3</vt:lpstr>
      <vt:lpstr>'GMIC_2020-Annu_SCDPT4'!SCDPT4_2400001_4</vt:lpstr>
      <vt:lpstr>'GMIC_2020-Annu_SCDPT4'!SCDPT4_2400001_5</vt:lpstr>
      <vt:lpstr>'GMIC_2020-Annu_SCDPT4'!SCDPT4_2400001_7</vt:lpstr>
      <vt:lpstr>'GMIC_2020-Annu_SCDPT4'!SCDPT4_2400001_8</vt:lpstr>
      <vt:lpstr>'GMIC_2020-Annu_SCDPT4'!SCDPT4_2400001_9</vt:lpstr>
      <vt:lpstr>'GMIC_2020-Annu_SCDPT4'!SCDPT4_2499999_10</vt:lpstr>
      <vt:lpstr>'GMIC_2020-Annu_SCDPT4'!SCDPT4_2499999_11</vt:lpstr>
      <vt:lpstr>'GMIC_2020-Annu_SCDPT4'!SCDPT4_2499999_12</vt:lpstr>
      <vt:lpstr>'GMIC_2020-Annu_SCDPT4'!SCDPT4_2499999_13</vt:lpstr>
      <vt:lpstr>'GMIC_2020-Annu_SCDPT4'!SCDPT4_2499999_14</vt:lpstr>
      <vt:lpstr>'GMIC_2020-Annu_SCDPT4'!SCDPT4_2499999_15</vt:lpstr>
      <vt:lpstr>'GMIC_2020-Annu_SCDPT4'!SCDPT4_2499999_16</vt:lpstr>
      <vt:lpstr>'GMIC_2020-Annu_SCDPT4'!SCDPT4_2499999_17</vt:lpstr>
      <vt:lpstr>'GMIC_2020-Annu_SCDPT4'!SCDPT4_2499999_18</vt:lpstr>
      <vt:lpstr>'GMIC_2020-Annu_SCDPT4'!SCDPT4_2499999_19</vt:lpstr>
      <vt:lpstr>'GMIC_2020-Annu_SCDPT4'!SCDPT4_2499999_20</vt:lpstr>
      <vt:lpstr>'GMIC_2020-Annu_SCDPT4'!SCDPT4_2499999_7</vt:lpstr>
      <vt:lpstr>'GMIC_2020-Annu_SCDPT4'!SCDPT4_2499999_8</vt:lpstr>
      <vt:lpstr>'GMIC_2020-Annu_SCDPT4'!SCDPT4_2499999_9</vt:lpstr>
      <vt:lpstr>'GMIC_2020-Annu_SCDPT4'!SCDPT4_24BEGIN_1</vt:lpstr>
      <vt:lpstr>'GMIC_2020-Annu_SCDPT4'!SCDPT4_24BEGIN_10</vt:lpstr>
      <vt:lpstr>'GMIC_2020-Annu_SCDPT4'!SCDPT4_24BEGIN_11</vt:lpstr>
      <vt:lpstr>'GMIC_2020-Annu_SCDPT4'!SCDPT4_24BEGIN_12</vt:lpstr>
      <vt:lpstr>'GMIC_2020-Annu_SCDPT4'!SCDPT4_24BEGIN_13</vt:lpstr>
      <vt:lpstr>'GMIC_2020-Annu_SCDPT4'!SCDPT4_24BEGIN_14</vt:lpstr>
      <vt:lpstr>'GMIC_2020-Annu_SCDPT4'!SCDPT4_24BEGIN_15</vt:lpstr>
      <vt:lpstr>'GMIC_2020-Annu_SCDPT4'!SCDPT4_24BEGIN_16</vt:lpstr>
      <vt:lpstr>'GMIC_2020-Annu_SCDPT4'!SCDPT4_24BEGIN_17</vt:lpstr>
      <vt:lpstr>'GMIC_2020-Annu_SCDPT4'!SCDPT4_24BEGIN_18</vt:lpstr>
      <vt:lpstr>'GMIC_2020-Annu_SCDPT4'!SCDPT4_24BEGIN_19</vt:lpstr>
      <vt:lpstr>'GMIC_2020-Annu_SCDPT4'!SCDPT4_24BEGIN_2</vt:lpstr>
      <vt:lpstr>'GMIC_2020-Annu_SCDPT4'!SCDPT4_24BEGIN_20</vt:lpstr>
      <vt:lpstr>'GMIC_2020-Annu_SCDPT4'!SCDPT4_24BEGIN_21</vt:lpstr>
      <vt:lpstr>'GMIC_2020-Annu_SCDPT4'!SCDPT4_24BEGIN_22</vt:lpstr>
      <vt:lpstr>'GMIC_2020-Annu_SCDPT4'!SCDPT4_24BEGIN_23</vt:lpstr>
      <vt:lpstr>'GMIC_2020-Annu_SCDPT4'!SCDPT4_24BEGIN_24</vt:lpstr>
      <vt:lpstr>'GMIC_2020-Annu_SCDPT4'!SCDPT4_24BEGIN_25</vt:lpstr>
      <vt:lpstr>'GMIC_2020-Annu_SCDPT4'!SCDPT4_24BEGIN_26</vt:lpstr>
      <vt:lpstr>'GMIC_2020-Annu_SCDPT4'!SCDPT4_24BEGIN_3</vt:lpstr>
      <vt:lpstr>'GMIC_2020-Annu_SCDPT4'!SCDPT4_24BEGIN_4</vt:lpstr>
      <vt:lpstr>'GMIC_2020-Annu_SCDPT4'!SCDPT4_24BEGIN_5</vt:lpstr>
      <vt:lpstr>'GMIC_2020-Annu_SCDPT4'!SCDPT4_24BEGIN_6</vt:lpstr>
      <vt:lpstr>'GMIC_2020-Annu_SCDPT4'!SCDPT4_24BEGIN_7</vt:lpstr>
      <vt:lpstr>'GMIC_2020-Annu_SCDPT4'!SCDPT4_24BEGIN_8</vt:lpstr>
      <vt:lpstr>'GMIC_2020-Annu_SCDPT4'!SCDPT4_24BEGIN_9</vt:lpstr>
      <vt:lpstr>'GMIC_2020-Annu_SCDPT4'!SCDPT4_24ENDIN_10</vt:lpstr>
      <vt:lpstr>'GMIC_2020-Annu_SCDPT4'!SCDPT4_24ENDIN_11</vt:lpstr>
      <vt:lpstr>'GMIC_2020-Annu_SCDPT4'!SCDPT4_24ENDIN_12</vt:lpstr>
      <vt:lpstr>'GMIC_2020-Annu_SCDPT4'!SCDPT4_24ENDIN_13</vt:lpstr>
      <vt:lpstr>'GMIC_2020-Annu_SCDPT4'!SCDPT4_24ENDIN_14</vt:lpstr>
      <vt:lpstr>'GMIC_2020-Annu_SCDPT4'!SCDPT4_24ENDIN_15</vt:lpstr>
      <vt:lpstr>'GMIC_2020-Annu_SCDPT4'!SCDPT4_24ENDIN_16</vt:lpstr>
      <vt:lpstr>'GMIC_2020-Annu_SCDPT4'!SCDPT4_24ENDIN_17</vt:lpstr>
      <vt:lpstr>'GMIC_2020-Annu_SCDPT4'!SCDPT4_24ENDIN_18</vt:lpstr>
      <vt:lpstr>'GMIC_2020-Annu_SCDPT4'!SCDPT4_24ENDIN_19</vt:lpstr>
      <vt:lpstr>'GMIC_2020-Annu_SCDPT4'!SCDPT4_24ENDIN_2</vt:lpstr>
      <vt:lpstr>'GMIC_2020-Annu_SCDPT4'!SCDPT4_24ENDIN_20</vt:lpstr>
      <vt:lpstr>'GMIC_2020-Annu_SCDPT4'!SCDPT4_24ENDIN_21</vt:lpstr>
      <vt:lpstr>'GMIC_2020-Annu_SCDPT4'!SCDPT4_24ENDIN_22</vt:lpstr>
      <vt:lpstr>'GMIC_2020-Annu_SCDPT4'!SCDPT4_24ENDIN_23</vt:lpstr>
      <vt:lpstr>'GMIC_2020-Annu_SCDPT4'!SCDPT4_24ENDIN_24</vt:lpstr>
      <vt:lpstr>'GMIC_2020-Annu_SCDPT4'!SCDPT4_24ENDIN_25</vt:lpstr>
      <vt:lpstr>'GMIC_2020-Annu_SCDPT4'!SCDPT4_24ENDIN_26</vt:lpstr>
      <vt:lpstr>'GMIC_2020-Annu_SCDPT4'!SCDPT4_24ENDIN_3</vt:lpstr>
      <vt:lpstr>'GMIC_2020-Annu_SCDPT4'!SCDPT4_24ENDIN_4</vt:lpstr>
      <vt:lpstr>'GMIC_2020-Annu_SCDPT4'!SCDPT4_24ENDIN_5</vt:lpstr>
      <vt:lpstr>'GMIC_2020-Annu_SCDPT4'!SCDPT4_24ENDIN_6</vt:lpstr>
      <vt:lpstr>'GMIC_2020-Annu_SCDPT4'!SCDPT4_24ENDIN_7</vt:lpstr>
      <vt:lpstr>'GMIC_2020-Annu_SCDPT4'!SCDPT4_24ENDIN_8</vt:lpstr>
      <vt:lpstr>'GMIC_2020-Annu_SCDPT4'!SCDPT4_24ENDIN_9</vt:lpstr>
      <vt:lpstr>'GMIC_2020-Annu_SCDPT4'!SCDPT4_3100000_Range</vt:lpstr>
      <vt:lpstr>'GMIC_2020-Annu_SCDPT4'!SCDPT4_3100001_1</vt:lpstr>
      <vt:lpstr>'GMIC_2020-Annu_SCDPT4'!SCDPT4_3100001_10</vt:lpstr>
      <vt:lpstr>'GMIC_2020-Annu_SCDPT4'!SCDPT4_3100001_11</vt:lpstr>
      <vt:lpstr>'GMIC_2020-Annu_SCDPT4'!SCDPT4_3100001_12</vt:lpstr>
      <vt:lpstr>'GMIC_2020-Annu_SCDPT4'!SCDPT4_3100001_13</vt:lpstr>
      <vt:lpstr>'GMIC_2020-Annu_SCDPT4'!SCDPT4_3100001_14</vt:lpstr>
      <vt:lpstr>'GMIC_2020-Annu_SCDPT4'!SCDPT4_3100001_15</vt:lpstr>
      <vt:lpstr>'GMIC_2020-Annu_SCDPT4'!SCDPT4_3100001_16</vt:lpstr>
      <vt:lpstr>'GMIC_2020-Annu_SCDPT4'!SCDPT4_3100001_17</vt:lpstr>
      <vt:lpstr>'GMIC_2020-Annu_SCDPT4'!SCDPT4_3100001_18</vt:lpstr>
      <vt:lpstr>'GMIC_2020-Annu_SCDPT4'!SCDPT4_3100001_19</vt:lpstr>
      <vt:lpstr>'GMIC_2020-Annu_SCDPT4'!SCDPT4_3100001_2</vt:lpstr>
      <vt:lpstr>'GMIC_2020-Annu_SCDPT4'!SCDPT4_3100001_20</vt:lpstr>
      <vt:lpstr>'GMIC_2020-Annu_SCDPT4'!SCDPT4_3100001_21</vt:lpstr>
      <vt:lpstr>'GMIC_2020-Annu_SCDPT4'!SCDPT4_3100001_22</vt:lpstr>
      <vt:lpstr>'GMIC_2020-Annu_SCDPT4'!SCDPT4_3100001_23</vt:lpstr>
      <vt:lpstr>'GMIC_2020-Annu_SCDPT4'!SCDPT4_3100001_24</vt:lpstr>
      <vt:lpstr>'GMIC_2020-Annu_SCDPT4'!SCDPT4_3100001_25</vt:lpstr>
      <vt:lpstr>'GMIC_2020-Annu_SCDPT4'!SCDPT4_3100001_26</vt:lpstr>
      <vt:lpstr>'GMIC_2020-Annu_SCDPT4'!SCDPT4_3100001_3</vt:lpstr>
      <vt:lpstr>'GMIC_2020-Annu_SCDPT4'!SCDPT4_3100001_4</vt:lpstr>
      <vt:lpstr>'GMIC_2020-Annu_SCDPT4'!SCDPT4_3100001_5</vt:lpstr>
      <vt:lpstr>'GMIC_2020-Annu_SCDPT4'!SCDPT4_3100001_7</vt:lpstr>
      <vt:lpstr>'GMIC_2020-Annu_SCDPT4'!SCDPT4_3100001_8</vt:lpstr>
      <vt:lpstr>'GMIC_2020-Annu_SCDPT4'!SCDPT4_3100001_9</vt:lpstr>
      <vt:lpstr>'GMIC_2020-Annu_SCDPT4'!SCDPT4_3199999_10</vt:lpstr>
      <vt:lpstr>'GMIC_2020-Annu_SCDPT4'!SCDPT4_3199999_11</vt:lpstr>
      <vt:lpstr>'GMIC_2020-Annu_SCDPT4'!SCDPT4_3199999_12</vt:lpstr>
      <vt:lpstr>'GMIC_2020-Annu_SCDPT4'!SCDPT4_3199999_13</vt:lpstr>
      <vt:lpstr>'GMIC_2020-Annu_SCDPT4'!SCDPT4_3199999_14</vt:lpstr>
      <vt:lpstr>'GMIC_2020-Annu_SCDPT4'!SCDPT4_3199999_15</vt:lpstr>
      <vt:lpstr>'GMIC_2020-Annu_SCDPT4'!SCDPT4_3199999_16</vt:lpstr>
      <vt:lpstr>'GMIC_2020-Annu_SCDPT4'!SCDPT4_3199999_17</vt:lpstr>
      <vt:lpstr>'GMIC_2020-Annu_SCDPT4'!SCDPT4_3199999_18</vt:lpstr>
      <vt:lpstr>'GMIC_2020-Annu_SCDPT4'!SCDPT4_3199999_19</vt:lpstr>
      <vt:lpstr>'GMIC_2020-Annu_SCDPT4'!SCDPT4_3199999_20</vt:lpstr>
      <vt:lpstr>'GMIC_2020-Annu_SCDPT4'!SCDPT4_3199999_7</vt:lpstr>
      <vt:lpstr>'GMIC_2020-Annu_SCDPT4'!SCDPT4_3199999_8</vt:lpstr>
      <vt:lpstr>'GMIC_2020-Annu_SCDPT4'!SCDPT4_3199999_9</vt:lpstr>
      <vt:lpstr>'GMIC_2020-Annu_SCDPT4'!SCDPT4_31BEGIN_1</vt:lpstr>
      <vt:lpstr>'GMIC_2020-Annu_SCDPT4'!SCDPT4_31BEGIN_10</vt:lpstr>
      <vt:lpstr>'GMIC_2020-Annu_SCDPT4'!SCDPT4_31BEGIN_11</vt:lpstr>
      <vt:lpstr>'GMIC_2020-Annu_SCDPT4'!SCDPT4_31BEGIN_12</vt:lpstr>
      <vt:lpstr>'GMIC_2020-Annu_SCDPT4'!SCDPT4_31BEGIN_13</vt:lpstr>
      <vt:lpstr>'GMIC_2020-Annu_SCDPT4'!SCDPT4_31BEGIN_14</vt:lpstr>
      <vt:lpstr>'GMIC_2020-Annu_SCDPT4'!SCDPT4_31BEGIN_15</vt:lpstr>
      <vt:lpstr>'GMIC_2020-Annu_SCDPT4'!SCDPT4_31BEGIN_16</vt:lpstr>
      <vt:lpstr>'GMIC_2020-Annu_SCDPT4'!SCDPT4_31BEGIN_17</vt:lpstr>
      <vt:lpstr>'GMIC_2020-Annu_SCDPT4'!SCDPT4_31BEGIN_18</vt:lpstr>
      <vt:lpstr>'GMIC_2020-Annu_SCDPT4'!SCDPT4_31BEGIN_19</vt:lpstr>
      <vt:lpstr>'GMIC_2020-Annu_SCDPT4'!SCDPT4_31BEGIN_2</vt:lpstr>
      <vt:lpstr>'GMIC_2020-Annu_SCDPT4'!SCDPT4_31BEGIN_20</vt:lpstr>
      <vt:lpstr>'GMIC_2020-Annu_SCDPT4'!SCDPT4_31BEGIN_21</vt:lpstr>
      <vt:lpstr>'GMIC_2020-Annu_SCDPT4'!SCDPT4_31BEGIN_22</vt:lpstr>
      <vt:lpstr>'GMIC_2020-Annu_SCDPT4'!SCDPT4_31BEGIN_23</vt:lpstr>
      <vt:lpstr>'GMIC_2020-Annu_SCDPT4'!SCDPT4_31BEGIN_24</vt:lpstr>
      <vt:lpstr>'GMIC_2020-Annu_SCDPT4'!SCDPT4_31BEGIN_25</vt:lpstr>
      <vt:lpstr>'GMIC_2020-Annu_SCDPT4'!SCDPT4_31BEGIN_26</vt:lpstr>
      <vt:lpstr>'GMIC_2020-Annu_SCDPT4'!SCDPT4_31BEGIN_3</vt:lpstr>
      <vt:lpstr>'GMIC_2020-Annu_SCDPT4'!SCDPT4_31BEGIN_4</vt:lpstr>
      <vt:lpstr>'GMIC_2020-Annu_SCDPT4'!SCDPT4_31BEGIN_5</vt:lpstr>
      <vt:lpstr>'GMIC_2020-Annu_SCDPT4'!SCDPT4_31BEGIN_6</vt:lpstr>
      <vt:lpstr>'GMIC_2020-Annu_SCDPT4'!SCDPT4_31BEGIN_7</vt:lpstr>
      <vt:lpstr>'GMIC_2020-Annu_SCDPT4'!SCDPT4_31BEGIN_8</vt:lpstr>
      <vt:lpstr>'GMIC_2020-Annu_SCDPT4'!SCDPT4_31BEGIN_9</vt:lpstr>
      <vt:lpstr>'GMIC_2020-Annu_SCDPT4'!SCDPT4_31ENDIN_10</vt:lpstr>
      <vt:lpstr>'GMIC_2020-Annu_SCDPT4'!SCDPT4_31ENDIN_11</vt:lpstr>
      <vt:lpstr>'GMIC_2020-Annu_SCDPT4'!SCDPT4_31ENDIN_12</vt:lpstr>
      <vt:lpstr>'GMIC_2020-Annu_SCDPT4'!SCDPT4_31ENDIN_13</vt:lpstr>
      <vt:lpstr>'GMIC_2020-Annu_SCDPT4'!SCDPT4_31ENDIN_14</vt:lpstr>
      <vt:lpstr>'GMIC_2020-Annu_SCDPT4'!SCDPT4_31ENDIN_15</vt:lpstr>
      <vt:lpstr>'GMIC_2020-Annu_SCDPT4'!SCDPT4_31ENDIN_16</vt:lpstr>
      <vt:lpstr>'GMIC_2020-Annu_SCDPT4'!SCDPT4_31ENDIN_17</vt:lpstr>
      <vt:lpstr>'GMIC_2020-Annu_SCDPT4'!SCDPT4_31ENDIN_18</vt:lpstr>
      <vt:lpstr>'GMIC_2020-Annu_SCDPT4'!SCDPT4_31ENDIN_19</vt:lpstr>
      <vt:lpstr>'GMIC_2020-Annu_SCDPT4'!SCDPT4_31ENDIN_2</vt:lpstr>
      <vt:lpstr>'GMIC_2020-Annu_SCDPT4'!SCDPT4_31ENDIN_20</vt:lpstr>
      <vt:lpstr>'GMIC_2020-Annu_SCDPT4'!SCDPT4_31ENDIN_21</vt:lpstr>
      <vt:lpstr>'GMIC_2020-Annu_SCDPT4'!SCDPT4_31ENDIN_22</vt:lpstr>
      <vt:lpstr>'GMIC_2020-Annu_SCDPT4'!SCDPT4_31ENDIN_23</vt:lpstr>
      <vt:lpstr>'GMIC_2020-Annu_SCDPT4'!SCDPT4_31ENDIN_24</vt:lpstr>
      <vt:lpstr>'GMIC_2020-Annu_SCDPT4'!SCDPT4_31ENDIN_25</vt:lpstr>
      <vt:lpstr>'GMIC_2020-Annu_SCDPT4'!SCDPT4_31ENDIN_26</vt:lpstr>
      <vt:lpstr>'GMIC_2020-Annu_SCDPT4'!SCDPT4_31ENDIN_3</vt:lpstr>
      <vt:lpstr>'GMIC_2020-Annu_SCDPT4'!SCDPT4_31ENDIN_4</vt:lpstr>
      <vt:lpstr>'GMIC_2020-Annu_SCDPT4'!SCDPT4_31ENDIN_5</vt:lpstr>
      <vt:lpstr>'GMIC_2020-Annu_SCDPT4'!SCDPT4_31ENDIN_6</vt:lpstr>
      <vt:lpstr>'GMIC_2020-Annu_SCDPT4'!SCDPT4_31ENDIN_7</vt:lpstr>
      <vt:lpstr>'GMIC_2020-Annu_SCDPT4'!SCDPT4_31ENDIN_8</vt:lpstr>
      <vt:lpstr>'GMIC_2020-Annu_SCDPT4'!SCDPT4_31ENDIN_9</vt:lpstr>
      <vt:lpstr>'GMIC_2020-Annu_SCDPT4'!SCDPT4_3800000_Range</vt:lpstr>
      <vt:lpstr>'GMIC_2020-Annu_SCDPT4'!SCDPT4_3800001_1</vt:lpstr>
      <vt:lpstr>'GMIC_2020-Annu_SCDPT4'!SCDPT4_3800001_10</vt:lpstr>
      <vt:lpstr>'GMIC_2020-Annu_SCDPT4'!SCDPT4_3800001_11</vt:lpstr>
      <vt:lpstr>'GMIC_2020-Annu_SCDPT4'!SCDPT4_3800001_12</vt:lpstr>
      <vt:lpstr>'GMIC_2020-Annu_SCDPT4'!SCDPT4_3800001_13</vt:lpstr>
      <vt:lpstr>'GMIC_2020-Annu_SCDPT4'!SCDPT4_3800001_14</vt:lpstr>
      <vt:lpstr>'GMIC_2020-Annu_SCDPT4'!SCDPT4_3800001_15</vt:lpstr>
      <vt:lpstr>'GMIC_2020-Annu_SCDPT4'!SCDPT4_3800001_16</vt:lpstr>
      <vt:lpstr>'GMIC_2020-Annu_SCDPT4'!SCDPT4_3800001_17</vt:lpstr>
      <vt:lpstr>'GMIC_2020-Annu_SCDPT4'!SCDPT4_3800001_18</vt:lpstr>
      <vt:lpstr>'GMIC_2020-Annu_SCDPT4'!SCDPT4_3800001_19</vt:lpstr>
      <vt:lpstr>'GMIC_2020-Annu_SCDPT4'!SCDPT4_3800001_2</vt:lpstr>
      <vt:lpstr>'GMIC_2020-Annu_SCDPT4'!SCDPT4_3800001_20</vt:lpstr>
      <vt:lpstr>'GMIC_2020-Annu_SCDPT4'!SCDPT4_3800001_21</vt:lpstr>
      <vt:lpstr>'GMIC_2020-Annu_SCDPT4'!SCDPT4_3800001_23</vt:lpstr>
      <vt:lpstr>'GMIC_2020-Annu_SCDPT4'!SCDPT4_3800001_24</vt:lpstr>
      <vt:lpstr>'GMIC_2020-Annu_SCDPT4'!SCDPT4_3800001_25</vt:lpstr>
      <vt:lpstr>'GMIC_2020-Annu_SCDPT4'!SCDPT4_3800001_26</vt:lpstr>
      <vt:lpstr>'GMIC_2020-Annu_SCDPT4'!SCDPT4_3800001_3</vt:lpstr>
      <vt:lpstr>'GMIC_2020-Annu_SCDPT4'!SCDPT4_3800001_4</vt:lpstr>
      <vt:lpstr>'GMIC_2020-Annu_SCDPT4'!SCDPT4_3800001_5</vt:lpstr>
      <vt:lpstr>'GMIC_2020-Annu_SCDPT4'!SCDPT4_3800001_7</vt:lpstr>
      <vt:lpstr>'GMIC_2020-Annu_SCDPT4'!SCDPT4_3800001_8</vt:lpstr>
      <vt:lpstr>'GMIC_2020-Annu_SCDPT4'!SCDPT4_3800001_9</vt:lpstr>
      <vt:lpstr>'GMIC_2020-Annu_SCDPT4'!SCDPT4_3899999_10</vt:lpstr>
      <vt:lpstr>'GMIC_2020-Annu_SCDPT4'!SCDPT4_3899999_11</vt:lpstr>
      <vt:lpstr>'GMIC_2020-Annu_SCDPT4'!SCDPT4_3899999_12</vt:lpstr>
      <vt:lpstr>'GMIC_2020-Annu_SCDPT4'!SCDPT4_3899999_13</vt:lpstr>
      <vt:lpstr>'GMIC_2020-Annu_SCDPT4'!SCDPT4_3899999_14</vt:lpstr>
      <vt:lpstr>'GMIC_2020-Annu_SCDPT4'!SCDPT4_3899999_15</vt:lpstr>
      <vt:lpstr>'GMIC_2020-Annu_SCDPT4'!SCDPT4_3899999_16</vt:lpstr>
      <vt:lpstr>'GMIC_2020-Annu_SCDPT4'!SCDPT4_3899999_17</vt:lpstr>
      <vt:lpstr>'GMIC_2020-Annu_SCDPT4'!SCDPT4_3899999_18</vt:lpstr>
      <vt:lpstr>'GMIC_2020-Annu_SCDPT4'!SCDPT4_3899999_19</vt:lpstr>
      <vt:lpstr>'GMIC_2020-Annu_SCDPT4'!SCDPT4_3899999_20</vt:lpstr>
      <vt:lpstr>'GMIC_2020-Annu_SCDPT4'!SCDPT4_3899999_7</vt:lpstr>
      <vt:lpstr>'GMIC_2020-Annu_SCDPT4'!SCDPT4_3899999_8</vt:lpstr>
      <vt:lpstr>'GMIC_2020-Annu_SCDPT4'!SCDPT4_3899999_9</vt:lpstr>
      <vt:lpstr>'GMIC_2020-Annu_SCDPT4'!SCDPT4_38BEGIN_1</vt:lpstr>
      <vt:lpstr>'GMIC_2020-Annu_SCDPT4'!SCDPT4_38BEGIN_10</vt:lpstr>
      <vt:lpstr>'GMIC_2020-Annu_SCDPT4'!SCDPT4_38BEGIN_11</vt:lpstr>
      <vt:lpstr>'GMIC_2020-Annu_SCDPT4'!SCDPT4_38BEGIN_12</vt:lpstr>
      <vt:lpstr>'GMIC_2020-Annu_SCDPT4'!SCDPT4_38BEGIN_13</vt:lpstr>
      <vt:lpstr>'GMIC_2020-Annu_SCDPT4'!SCDPT4_38BEGIN_14</vt:lpstr>
      <vt:lpstr>'GMIC_2020-Annu_SCDPT4'!SCDPT4_38BEGIN_15</vt:lpstr>
      <vt:lpstr>'GMIC_2020-Annu_SCDPT4'!SCDPT4_38BEGIN_16</vt:lpstr>
      <vt:lpstr>'GMIC_2020-Annu_SCDPT4'!SCDPT4_38BEGIN_17</vt:lpstr>
      <vt:lpstr>'GMIC_2020-Annu_SCDPT4'!SCDPT4_38BEGIN_18</vt:lpstr>
      <vt:lpstr>'GMIC_2020-Annu_SCDPT4'!SCDPT4_38BEGIN_19</vt:lpstr>
      <vt:lpstr>'GMIC_2020-Annu_SCDPT4'!SCDPT4_38BEGIN_2</vt:lpstr>
      <vt:lpstr>'GMIC_2020-Annu_SCDPT4'!SCDPT4_38BEGIN_20</vt:lpstr>
      <vt:lpstr>'GMIC_2020-Annu_SCDPT4'!SCDPT4_38BEGIN_21</vt:lpstr>
      <vt:lpstr>'GMIC_2020-Annu_SCDPT4'!SCDPT4_38BEGIN_22</vt:lpstr>
      <vt:lpstr>'GMIC_2020-Annu_SCDPT4'!SCDPT4_38BEGIN_23</vt:lpstr>
      <vt:lpstr>'GMIC_2020-Annu_SCDPT4'!SCDPT4_38BEGIN_24</vt:lpstr>
      <vt:lpstr>'GMIC_2020-Annu_SCDPT4'!SCDPT4_38BEGIN_25</vt:lpstr>
      <vt:lpstr>'GMIC_2020-Annu_SCDPT4'!SCDPT4_38BEGIN_26</vt:lpstr>
      <vt:lpstr>'GMIC_2020-Annu_SCDPT4'!SCDPT4_38BEGIN_3</vt:lpstr>
      <vt:lpstr>'GMIC_2020-Annu_SCDPT4'!SCDPT4_38BEGIN_4</vt:lpstr>
      <vt:lpstr>'GMIC_2020-Annu_SCDPT4'!SCDPT4_38BEGIN_5</vt:lpstr>
      <vt:lpstr>'GMIC_2020-Annu_SCDPT4'!SCDPT4_38BEGIN_6</vt:lpstr>
      <vt:lpstr>'GMIC_2020-Annu_SCDPT4'!SCDPT4_38BEGIN_7</vt:lpstr>
      <vt:lpstr>'GMIC_2020-Annu_SCDPT4'!SCDPT4_38BEGIN_8</vt:lpstr>
      <vt:lpstr>'GMIC_2020-Annu_SCDPT4'!SCDPT4_38BEGIN_9</vt:lpstr>
      <vt:lpstr>'GMIC_2020-Annu_SCDPT4'!SCDPT4_38ENDIN_10</vt:lpstr>
      <vt:lpstr>'GMIC_2020-Annu_SCDPT4'!SCDPT4_38ENDIN_11</vt:lpstr>
      <vt:lpstr>'GMIC_2020-Annu_SCDPT4'!SCDPT4_38ENDIN_12</vt:lpstr>
      <vt:lpstr>'GMIC_2020-Annu_SCDPT4'!SCDPT4_38ENDIN_13</vt:lpstr>
      <vt:lpstr>'GMIC_2020-Annu_SCDPT4'!SCDPT4_38ENDIN_14</vt:lpstr>
      <vt:lpstr>'GMIC_2020-Annu_SCDPT4'!SCDPT4_38ENDIN_15</vt:lpstr>
      <vt:lpstr>'GMIC_2020-Annu_SCDPT4'!SCDPT4_38ENDIN_16</vt:lpstr>
      <vt:lpstr>'GMIC_2020-Annu_SCDPT4'!SCDPT4_38ENDIN_17</vt:lpstr>
      <vt:lpstr>'GMIC_2020-Annu_SCDPT4'!SCDPT4_38ENDIN_18</vt:lpstr>
      <vt:lpstr>'GMIC_2020-Annu_SCDPT4'!SCDPT4_38ENDIN_19</vt:lpstr>
      <vt:lpstr>'GMIC_2020-Annu_SCDPT4'!SCDPT4_38ENDIN_2</vt:lpstr>
      <vt:lpstr>'GMIC_2020-Annu_SCDPT4'!SCDPT4_38ENDIN_20</vt:lpstr>
      <vt:lpstr>'GMIC_2020-Annu_SCDPT4'!SCDPT4_38ENDIN_21</vt:lpstr>
      <vt:lpstr>'GMIC_2020-Annu_SCDPT4'!SCDPT4_38ENDIN_22</vt:lpstr>
      <vt:lpstr>'GMIC_2020-Annu_SCDPT4'!SCDPT4_38ENDIN_23</vt:lpstr>
      <vt:lpstr>'GMIC_2020-Annu_SCDPT4'!SCDPT4_38ENDIN_24</vt:lpstr>
      <vt:lpstr>'GMIC_2020-Annu_SCDPT4'!SCDPT4_38ENDIN_25</vt:lpstr>
      <vt:lpstr>'GMIC_2020-Annu_SCDPT4'!SCDPT4_38ENDIN_26</vt:lpstr>
      <vt:lpstr>'GMIC_2020-Annu_SCDPT4'!SCDPT4_38ENDIN_3</vt:lpstr>
      <vt:lpstr>'GMIC_2020-Annu_SCDPT4'!SCDPT4_38ENDIN_4</vt:lpstr>
      <vt:lpstr>'GMIC_2020-Annu_SCDPT4'!SCDPT4_38ENDIN_5</vt:lpstr>
      <vt:lpstr>'GMIC_2020-Annu_SCDPT4'!SCDPT4_38ENDIN_6</vt:lpstr>
      <vt:lpstr>'GMIC_2020-Annu_SCDPT4'!SCDPT4_38ENDIN_7</vt:lpstr>
      <vt:lpstr>'GMIC_2020-Annu_SCDPT4'!SCDPT4_38ENDIN_8</vt:lpstr>
      <vt:lpstr>'GMIC_2020-Annu_SCDPT4'!SCDPT4_38ENDIN_9</vt:lpstr>
      <vt:lpstr>'GMIC_2020-Annu_SCDPT4'!SCDPT4_4800000_Range</vt:lpstr>
      <vt:lpstr>'GMIC_2020-Annu_SCDPT4'!SCDPT4_4899999_10</vt:lpstr>
      <vt:lpstr>'GMIC_2020-Annu_SCDPT4'!SCDPT4_4899999_11</vt:lpstr>
      <vt:lpstr>'GMIC_2020-Annu_SCDPT4'!SCDPT4_4899999_12</vt:lpstr>
      <vt:lpstr>'GMIC_2020-Annu_SCDPT4'!SCDPT4_4899999_13</vt:lpstr>
      <vt:lpstr>'GMIC_2020-Annu_SCDPT4'!SCDPT4_4899999_14</vt:lpstr>
      <vt:lpstr>'GMIC_2020-Annu_SCDPT4'!SCDPT4_4899999_15</vt:lpstr>
      <vt:lpstr>'GMIC_2020-Annu_SCDPT4'!SCDPT4_4899999_16</vt:lpstr>
      <vt:lpstr>'GMIC_2020-Annu_SCDPT4'!SCDPT4_4899999_17</vt:lpstr>
      <vt:lpstr>'GMIC_2020-Annu_SCDPT4'!SCDPT4_4899999_18</vt:lpstr>
      <vt:lpstr>'GMIC_2020-Annu_SCDPT4'!SCDPT4_4899999_19</vt:lpstr>
      <vt:lpstr>'GMIC_2020-Annu_SCDPT4'!SCDPT4_4899999_20</vt:lpstr>
      <vt:lpstr>'GMIC_2020-Annu_SCDPT4'!SCDPT4_4899999_7</vt:lpstr>
      <vt:lpstr>'GMIC_2020-Annu_SCDPT4'!SCDPT4_4899999_8</vt:lpstr>
      <vt:lpstr>'GMIC_2020-Annu_SCDPT4'!SCDPT4_4899999_9</vt:lpstr>
      <vt:lpstr>'GMIC_2020-Annu_SCDPT4'!SCDPT4_48BEGIN_1</vt:lpstr>
      <vt:lpstr>'GMIC_2020-Annu_SCDPT4'!SCDPT4_48BEGIN_10</vt:lpstr>
      <vt:lpstr>'GMIC_2020-Annu_SCDPT4'!SCDPT4_48BEGIN_11</vt:lpstr>
      <vt:lpstr>'GMIC_2020-Annu_SCDPT4'!SCDPT4_48BEGIN_12</vt:lpstr>
      <vt:lpstr>'GMIC_2020-Annu_SCDPT4'!SCDPT4_48BEGIN_13</vt:lpstr>
      <vt:lpstr>'GMIC_2020-Annu_SCDPT4'!SCDPT4_48BEGIN_14</vt:lpstr>
      <vt:lpstr>'GMIC_2020-Annu_SCDPT4'!SCDPT4_48BEGIN_15</vt:lpstr>
      <vt:lpstr>'GMIC_2020-Annu_SCDPT4'!SCDPT4_48BEGIN_16</vt:lpstr>
      <vt:lpstr>'GMIC_2020-Annu_SCDPT4'!SCDPT4_48BEGIN_17</vt:lpstr>
      <vt:lpstr>'GMIC_2020-Annu_SCDPT4'!SCDPT4_48BEGIN_18</vt:lpstr>
      <vt:lpstr>'GMIC_2020-Annu_SCDPT4'!SCDPT4_48BEGIN_19</vt:lpstr>
      <vt:lpstr>'GMIC_2020-Annu_SCDPT4'!SCDPT4_48BEGIN_2</vt:lpstr>
      <vt:lpstr>'GMIC_2020-Annu_SCDPT4'!SCDPT4_48BEGIN_20</vt:lpstr>
      <vt:lpstr>'GMIC_2020-Annu_SCDPT4'!SCDPT4_48BEGIN_21</vt:lpstr>
      <vt:lpstr>'GMIC_2020-Annu_SCDPT4'!SCDPT4_48BEGIN_22</vt:lpstr>
      <vt:lpstr>'GMIC_2020-Annu_SCDPT4'!SCDPT4_48BEGIN_23</vt:lpstr>
      <vt:lpstr>'GMIC_2020-Annu_SCDPT4'!SCDPT4_48BEGIN_24</vt:lpstr>
      <vt:lpstr>'GMIC_2020-Annu_SCDPT4'!SCDPT4_48BEGIN_25</vt:lpstr>
      <vt:lpstr>'GMIC_2020-Annu_SCDPT4'!SCDPT4_48BEGIN_26</vt:lpstr>
      <vt:lpstr>'GMIC_2020-Annu_SCDPT4'!SCDPT4_48BEGIN_3</vt:lpstr>
      <vt:lpstr>'GMIC_2020-Annu_SCDPT4'!SCDPT4_48BEGIN_4</vt:lpstr>
      <vt:lpstr>'GMIC_2020-Annu_SCDPT4'!SCDPT4_48BEGIN_5</vt:lpstr>
      <vt:lpstr>'GMIC_2020-Annu_SCDPT4'!SCDPT4_48BEGIN_6</vt:lpstr>
      <vt:lpstr>'GMIC_2020-Annu_SCDPT4'!SCDPT4_48BEGIN_7</vt:lpstr>
      <vt:lpstr>'GMIC_2020-Annu_SCDPT4'!SCDPT4_48BEGIN_8</vt:lpstr>
      <vt:lpstr>'GMIC_2020-Annu_SCDPT4'!SCDPT4_48BEGIN_9</vt:lpstr>
      <vt:lpstr>'GMIC_2020-Annu_SCDPT4'!SCDPT4_48ENDIN_10</vt:lpstr>
      <vt:lpstr>'GMIC_2020-Annu_SCDPT4'!SCDPT4_48ENDIN_11</vt:lpstr>
      <vt:lpstr>'GMIC_2020-Annu_SCDPT4'!SCDPT4_48ENDIN_12</vt:lpstr>
      <vt:lpstr>'GMIC_2020-Annu_SCDPT4'!SCDPT4_48ENDIN_13</vt:lpstr>
      <vt:lpstr>'GMIC_2020-Annu_SCDPT4'!SCDPT4_48ENDIN_14</vt:lpstr>
      <vt:lpstr>'GMIC_2020-Annu_SCDPT4'!SCDPT4_48ENDIN_15</vt:lpstr>
      <vt:lpstr>'GMIC_2020-Annu_SCDPT4'!SCDPT4_48ENDIN_16</vt:lpstr>
      <vt:lpstr>'GMIC_2020-Annu_SCDPT4'!SCDPT4_48ENDIN_17</vt:lpstr>
      <vt:lpstr>'GMIC_2020-Annu_SCDPT4'!SCDPT4_48ENDIN_18</vt:lpstr>
      <vt:lpstr>'GMIC_2020-Annu_SCDPT4'!SCDPT4_48ENDIN_19</vt:lpstr>
      <vt:lpstr>'GMIC_2020-Annu_SCDPT4'!SCDPT4_48ENDIN_2</vt:lpstr>
      <vt:lpstr>'GMIC_2020-Annu_SCDPT4'!SCDPT4_48ENDIN_20</vt:lpstr>
      <vt:lpstr>'GMIC_2020-Annu_SCDPT4'!SCDPT4_48ENDIN_21</vt:lpstr>
      <vt:lpstr>'GMIC_2020-Annu_SCDPT4'!SCDPT4_48ENDIN_22</vt:lpstr>
      <vt:lpstr>'GMIC_2020-Annu_SCDPT4'!SCDPT4_48ENDIN_23</vt:lpstr>
      <vt:lpstr>'GMIC_2020-Annu_SCDPT4'!SCDPT4_48ENDIN_24</vt:lpstr>
      <vt:lpstr>'GMIC_2020-Annu_SCDPT4'!SCDPT4_48ENDIN_25</vt:lpstr>
      <vt:lpstr>'GMIC_2020-Annu_SCDPT4'!SCDPT4_48ENDIN_26</vt:lpstr>
      <vt:lpstr>'GMIC_2020-Annu_SCDPT4'!SCDPT4_48ENDIN_3</vt:lpstr>
      <vt:lpstr>'GMIC_2020-Annu_SCDPT4'!SCDPT4_48ENDIN_4</vt:lpstr>
      <vt:lpstr>'GMIC_2020-Annu_SCDPT4'!SCDPT4_48ENDIN_5</vt:lpstr>
      <vt:lpstr>'GMIC_2020-Annu_SCDPT4'!SCDPT4_48ENDIN_6</vt:lpstr>
      <vt:lpstr>'GMIC_2020-Annu_SCDPT4'!SCDPT4_48ENDIN_7</vt:lpstr>
      <vt:lpstr>'GMIC_2020-Annu_SCDPT4'!SCDPT4_48ENDIN_8</vt:lpstr>
      <vt:lpstr>'GMIC_2020-Annu_SCDPT4'!SCDPT4_48ENDIN_9</vt:lpstr>
      <vt:lpstr>'GMIC_2020-Annu_SCDPT4'!SCDPT4_5500000_Range</vt:lpstr>
      <vt:lpstr>'GMIC_2020-Annu_SCDPT4'!SCDPT4_5599999_10</vt:lpstr>
      <vt:lpstr>'GMIC_2020-Annu_SCDPT4'!SCDPT4_5599999_11</vt:lpstr>
      <vt:lpstr>'GMIC_2020-Annu_SCDPT4'!SCDPT4_5599999_12</vt:lpstr>
      <vt:lpstr>'GMIC_2020-Annu_SCDPT4'!SCDPT4_5599999_13</vt:lpstr>
      <vt:lpstr>'GMIC_2020-Annu_SCDPT4'!SCDPT4_5599999_14</vt:lpstr>
      <vt:lpstr>'GMIC_2020-Annu_SCDPT4'!SCDPT4_5599999_15</vt:lpstr>
      <vt:lpstr>'GMIC_2020-Annu_SCDPT4'!SCDPT4_5599999_16</vt:lpstr>
      <vt:lpstr>'GMIC_2020-Annu_SCDPT4'!SCDPT4_5599999_17</vt:lpstr>
      <vt:lpstr>'GMIC_2020-Annu_SCDPT4'!SCDPT4_5599999_18</vt:lpstr>
      <vt:lpstr>'GMIC_2020-Annu_SCDPT4'!SCDPT4_5599999_19</vt:lpstr>
      <vt:lpstr>'GMIC_2020-Annu_SCDPT4'!SCDPT4_5599999_20</vt:lpstr>
      <vt:lpstr>'GMIC_2020-Annu_SCDPT4'!SCDPT4_5599999_7</vt:lpstr>
      <vt:lpstr>'GMIC_2020-Annu_SCDPT4'!SCDPT4_5599999_8</vt:lpstr>
      <vt:lpstr>'GMIC_2020-Annu_SCDPT4'!SCDPT4_5599999_9</vt:lpstr>
      <vt:lpstr>'GMIC_2020-Annu_SCDPT4'!SCDPT4_55BEGIN_1</vt:lpstr>
      <vt:lpstr>'GMIC_2020-Annu_SCDPT4'!SCDPT4_55BEGIN_10</vt:lpstr>
      <vt:lpstr>'GMIC_2020-Annu_SCDPT4'!SCDPT4_55BEGIN_11</vt:lpstr>
      <vt:lpstr>'GMIC_2020-Annu_SCDPT4'!SCDPT4_55BEGIN_12</vt:lpstr>
      <vt:lpstr>'GMIC_2020-Annu_SCDPT4'!SCDPT4_55BEGIN_13</vt:lpstr>
      <vt:lpstr>'GMIC_2020-Annu_SCDPT4'!SCDPT4_55BEGIN_14</vt:lpstr>
      <vt:lpstr>'GMIC_2020-Annu_SCDPT4'!SCDPT4_55BEGIN_15</vt:lpstr>
      <vt:lpstr>'GMIC_2020-Annu_SCDPT4'!SCDPT4_55BEGIN_16</vt:lpstr>
      <vt:lpstr>'GMIC_2020-Annu_SCDPT4'!SCDPT4_55BEGIN_17</vt:lpstr>
      <vt:lpstr>'GMIC_2020-Annu_SCDPT4'!SCDPT4_55BEGIN_18</vt:lpstr>
      <vt:lpstr>'GMIC_2020-Annu_SCDPT4'!SCDPT4_55BEGIN_19</vt:lpstr>
      <vt:lpstr>'GMIC_2020-Annu_SCDPT4'!SCDPT4_55BEGIN_2</vt:lpstr>
      <vt:lpstr>'GMIC_2020-Annu_SCDPT4'!SCDPT4_55BEGIN_20</vt:lpstr>
      <vt:lpstr>'GMIC_2020-Annu_SCDPT4'!SCDPT4_55BEGIN_21</vt:lpstr>
      <vt:lpstr>'GMIC_2020-Annu_SCDPT4'!SCDPT4_55BEGIN_22</vt:lpstr>
      <vt:lpstr>'GMIC_2020-Annu_SCDPT4'!SCDPT4_55BEGIN_23</vt:lpstr>
      <vt:lpstr>'GMIC_2020-Annu_SCDPT4'!SCDPT4_55BEGIN_24</vt:lpstr>
      <vt:lpstr>'GMIC_2020-Annu_SCDPT4'!SCDPT4_55BEGIN_25</vt:lpstr>
      <vt:lpstr>'GMIC_2020-Annu_SCDPT4'!SCDPT4_55BEGIN_26</vt:lpstr>
      <vt:lpstr>'GMIC_2020-Annu_SCDPT4'!SCDPT4_55BEGIN_3</vt:lpstr>
      <vt:lpstr>'GMIC_2020-Annu_SCDPT4'!SCDPT4_55BEGIN_4</vt:lpstr>
      <vt:lpstr>'GMIC_2020-Annu_SCDPT4'!SCDPT4_55BEGIN_5</vt:lpstr>
      <vt:lpstr>'GMIC_2020-Annu_SCDPT4'!SCDPT4_55BEGIN_6</vt:lpstr>
      <vt:lpstr>'GMIC_2020-Annu_SCDPT4'!SCDPT4_55BEGIN_7</vt:lpstr>
      <vt:lpstr>'GMIC_2020-Annu_SCDPT4'!SCDPT4_55BEGIN_8</vt:lpstr>
      <vt:lpstr>'GMIC_2020-Annu_SCDPT4'!SCDPT4_55BEGIN_9</vt:lpstr>
      <vt:lpstr>'GMIC_2020-Annu_SCDPT4'!SCDPT4_55ENDIN_10</vt:lpstr>
      <vt:lpstr>'GMIC_2020-Annu_SCDPT4'!SCDPT4_55ENDIN_11</vt:lpstr>
      <vt:lpstr>'GMIC_2020-Annu_SCDPT4'!SCDPT4_55ENDIN_12</vt:lpstr>
      <vt:lpstr>'GMIC_2020-Annu_SCDPT4'!SCDPT4_55ENDIN_13</vt:lpstr>
      <vt:lpstr>'GMIC_2020-Annu_SCDPT4'!SCDPT4_55ENDIN_14</vt:lpstr>
      <vt:lpstr>'GMIC_2020-Annu_SCDPT4'!SCDPT4_55ENDIN_15</vt:lpstr>
      <vt:lpstr>'GMIC_2020-Annu_SCDPT4'!SCDPT4_55ENDIN_16</vt:lpstr>
      <vt:lpstr>'GMIC_2020-Annu_SCDPT4'!SCDPT4_55ENDIN_17</vt:lpstr>
      <vt:lpstr>'GMIC_2020-Annu_SCDPT4'!SCDPT4_55ENDIN_18</vt:lpstr>
      <vt:lpstr>'GMIC_2020-Annu_SCDPT4'!SCDPT4_55ENDIN_19</vt:lpstr>
      <vt:lpstr>'GMIC_2020-Annu_SCDPT4'!SCDPT4_55ENDIN_2</vt:lpstr>
      <vt:lpstr>'GMIC_2020-Annu_SCDPT4'!SCDPT4_55ENDIN_20</vt:lpstr>
      <vt:lpstr>'GMIC_2020-Annu_SCDPT4'!SCDPT4_55ENDIN_21</vt:lpstr>
      <vt:lpstr>'GMIC_2020-Annu_SCDPT4'!SCDPT4_55ENDIN_22</vt:lpstr>
      <vt:lpstr>'GMIC_2020-Annu_SCDPT4'!SCDPT4_55ENDIN_23</vt:lpstr>
      <vt:lpstr>'GMIC_2020-Annu_SCDPT4'!SCDPT4_55ENDIN_24</vt:lpstr>
      <vt:lpstr>'GMIC_2020-Annu_SCDPT4'!SCDPT4_55ENDIN_25</vt:lpstr>
      <vt:lpstr>'GMIC_2020-Annu_SCDPT4'!SCDPT4_55ENDIN_26</vt:lpstr>
      <vt:lpstr>'GMIC_2020-Annu_SCDPT4'!SCDPT4_55ENDIN_3</vt:lpstr>
      <vt:lpstr>'GMIC_2020-Annu_SCDPT4'!SCDPT4_55ENDIN_4</vt:lpstr>
      <vt:lpstr>'GMIC_2020-Annu_SCDPT4'!SCDPT4_55ENDIN_5</vt:lpstr>
      <vt:lpstr>'GMIC_2020-Annu_SCDPT4'!SCDPT4_55ENDIN_6</vt:lpstr>
      <vt:lpstr>'GMIC_2020-Annu_SCDPT4'!SCDPT4_55ENDIN_7</vt:lpstr>
      <vt:lpstr>'GMIC_2020-Annu_SCDPT4'!SCDPT4_55ENDIN_8</vt:lpstr>
      <vt:lpstr>'GMIC_2020-Annu_SCDPT4'!SCDPT4_55ENDIN_9</vt:lpstr>
      <vt:lpstr>'GMIC_2020-Annu_SCDPT4'!SCDPT4_8000000_Range</vt:lpstr>
      <vt:lpstr>'GMIC_2020-Annu_SCDPT4'!SCDPT4_8099999_10</vt:lpstr>
      <vt:lpstr>'GMIC_2020-Annu_SCDPT4'!SCDPT4_8099999_11</vt:lpstr>
      <vt:lpstr>'GMIC_2020-Annu_SCDPT4'!SCDPT4_8099999_12</vt:lpstr>
      <vt:lpstr>'GMIC_2020-Annu_SCDPT4'!SCDPT4_8099999_13</vt:lpstr>
      <vt:lpstr>'GMIC_2020-Annu_SCDPT4'!SCDPT4_8099999_14</vt:lpstr>
      <vt:lpstr>'GMIC_2020-Annu_SCDPT4'!SCDPT4_8099999_15</vt:lpstr>
      <vt:lpstr>'GMIC_2020-Annu_SCDPT4'!SCDPT4_8099999_16</vt:lpstr>
      <vt:lpstr>'GMIC_2020-Annu_SCDPT4'!SCDPT4_8099999_17</vt:lpstr>
      <vt:lpstr>'GMIC_2020-Annu_SCDPT4'!SCDPT4_8099999_18</vt:lpstr>
      <vt:lpstr>'GMIC_2020-Annu_SCDPT4'!SCDPT4_8099999_19</vt:lpstr>
      <vt:lpstr>'GMIC_2020-Annu_SCDPT4'!SCDPT4_8099999_20</vt:lpstr>
      <vt:lpstr>'GMIC_2020-Annu_SCDPT4'!SCDPT4_8099999_7</vt:lpstr>
      <vt:lpstr>'GMIC_2020-Annu_SCDPT4'!SCDPT4_8099999_8</vt:lpstr>
      <vt:lpstr>'GMIC_2020-Annu_SCDPT4'!SCDPT4_8099999_9</vt:lpstr>
      <vt:lpstr>'GMIC_2020-Annu_SCDPT4'!SCDPT4_80BEGIN_1</vt:lpstr>
      <vt:lpstr>'GMIC_2020-Annu_SCDPT4'!SCDPT4_80BEGIN_10</vt:lpstr>
      <vt:lpstr>'GMIC_2020-Annu_SCDPT4'!SCDPT4_80BEGIN_11</vt:lpstr>
      <vt:lpstr>'GMIC_2020-Annu_SCDPT4'!SCDPT4_80BEGIN_12</vt:lpstr>
      <vt:lpstr>'GMIC_2020-Annu_SCDPT4'!SCDPT4_80BEGIN_13</vt:lpstr>
      <vt:lpstr>'GMIC_2020-Annu_SCDPT4'!SCDPT4_80BEGIN_14</vt:lpstr>
      <vt:lpstr>'GMIC_2020-Annu_SCDPT4'!SCDPT4_80BEGIN_15</vt:lpstr>
      <vt:lpstr>'GMIC_2020-Annu_SCDPT4'!SCDPT4_80BEGIN_16</vt:lpstr>
      <vt:lpstr>'GMIC_2020-Annu_SCDPT4'!SCDPT4_80BEGIN_17</vt:lpstr>
      <vt:lpstr>'GMIC_2020-Annu_SCDPT4'!SCDPT4_80BEGIN_18</vt:lpstr>
      <vt:lpstr>'GMIC_2020-Annu_SCDPT4'!SCDPT4_80BEGIN_19</vt:lpstr>
      <vt:lpstr>'GMIC_2020-Annu_SCDPT4'!SCDPT4_80BEGIN_2</vt:lpstr>
      <vt:lpstr>'GMIC_2020-Annu_SCDPT4'!SCDPT4_80BEGIN_20</vt:lpstr>
      <vt:lpstr>'GMIC_2020-Annu_SCDPT4'!SCDPT4_80BEGIN_21</vt:lpstr>
      <vt:lpstr>'GMIC_2020-Annu_SCDPT4'!SCDPT4_80BEGIN_22</vt:lpstr>
      <vt:lpstr>'GMIC_2020-Annu_SCDPT4'!SCDPT4_80BEGIN_23</vt:lpstr>
      <vt:lpstr>'GMIC_2020-Annu_SCDPT4'!SCDPT4_80BEGIN_24</vt:lpstr>
      <vt:lpstr>'GMIC_2020-Annu_SCDPT4'!SCDPT4_80BEGIN_25</vt:lpstr>
      <vt:lpstr>'GMIC_2020-Annu_SCDPT4'!SCDPT4_80BEGIN_26</vt:lpstr>
      <vt:lpstr>'GMIC_2020-Annu_SCDPT4'!SCDPT4_80BEGIN_3</vt:lpstr>
      <vt:lpstr>'GMIC_2020-Annu_SCDPT4'!SCDPT4_80BEGIN_4</vt:lpstr>
      <vt:lpstr>'GMIC_2020-Annu_SCDPT4'!SCDPT4_80BEGIN_5</vt:lpstr>
      <vt:lpstr>'GMIC_2020-Annu_SCDPT4'!SCDPT4_80BEGIN_6</vt:lpstr>
      <vt:lpstr>'GMIC_2020-Annu_SCDPT4'!SCDPT4_80BEGIN_7</vt:lpstr>
      <vt:lpstr>'GMIC_2020-Annu_SCDPT4'!SCDPT4_80BEGIN_8</vt:lpstr>
      <vt:lpstr>'GMIC_2020-Annu_SCDPT4'!SCDPT4_80BEGIN_9</vt:lpstr>
      <vt:lpstr>'GMIC_2020-Annu_SCDPT4'!SCDPT4_80ENDIN_10</vt:lpstr>
      <vt:lpstr>'GMIC_2020-Annu_SCDPT4'!SCDPT4_80ENDIN_11</vt:lpstr>
      <vt:lpstr>'GMIC_2020-Annu_SCDPT4'!SCDPT4_80ENDIN_12</vt:lpstr>
      <vt:lpstr>'GMIC_2020-Annu_SCDPT4'!SCDPT4_80ENDIN_13</vt:lpstr>
      <vt:lpstr>'GMIC_2020-Annu_SCDPT4'!SCDPT4_80ENDIN_14</vt:lpstr>
      <vt:lpstr>'GMIC_2020-Annu_SCDPT4'!SCDPT4_80ENDIN_15</vt:lpstr>
      <vt:lpstr>'GMIC_2020-Annu_SCDPT4'!SCDPT4_80ENDIN_16</vt:lpstr>
      <vt:lpstr>'GMIC_2020-Annu_SCDPT4'!SCDPT4_80ENDIN_17</vt:lpstr>
      <vt:lpstr>'GMIC_2020-Annu_SCDPT4'!SCDPT4_80ENDIN_18</vt:lpstr>
      <vt:lpstr>'GMIC_2020-Annu_SCDPT4'!SCDPT4_80ENDIN_19</vt:lpstr>
      <vt:lpstr>'GMIC_2020-Annu_SCDPT4'!SCDPT4_80ENDIN_2</vt:lpstr>
      <vt:lpstr>'GMIC_2020-Annu_SCDPT4'!SCDPT4_80ENDIN_20</vt:lpstr>
      <vt:lpstr>'GMIC_2020-Annu_SCDPT4'!SCDPT4_80ENDIN_21</vt:lpstr>
      <vt:lpstr>'GMIC_2020-Annu_SCDPT4'!SCDPT4_80ENDIN_22</vt:lpstr>
      <vt:lpstr>'GMIC_2020-Annu_SCDPT4'!SCDPT4_80ENDIN_23</vt:lpstr>
      <vt:lpstr>'GMIC_2020-Annu_SCDPT4'!SCDPT4_80ENDIN_24</vt:lpstr>
      <vt:lpstr>'GMIC_2020-Annu_SCDPT4'!SCDPT4_80ENDIN_25</vt:lpstr>
      <vt:lpstr>'GMIC_2020-Annu_SCDPT4'!SCDPT4_80ENDIN_26</vt:lpstr>
      <vt:lpstr>'GMIC_2020-Annu_SCDPT4'!SCDPT4_80ENDIN_3</vt:lpstr>
      <vt:lpstr>'GMIC_2020-Annu_SCDPT4'!SCDPT4_80ENDIN_4</vt:lpstr>
      <vt:lpstr>'GMIC_2020-Annu_SCDPT4'!SCDPT4_80ENDIN_5</vt:lpstr>
      <vt:lpstr>'GMIC_2020-Annu_SCDPT4'!SCDPT4_80ENDIN_6</vt:lpstr>
      <vt:lpstr>'GMIC_2020-Annu_SCDPT4'!SCDPT4_80ENDIN_7</vt:lpstr>
      <vt:lpstr>'GMIC_2020-Annu_SCDPT4'!SCDPT4_80ENDIN_8</vt:lpstr>
      <vt:lpstr>'GMIC_2020-Annu_SCDPT4'!SCDPT4_80ENDIN_9</vt:lpstr>
      <vt:lpstr>'GMIC_2020-Annu_SCDPT4'!SCDPT4_8200000_Range</vt:lpstr>
      <vt:lpstr>'GMIC_2020-Annu_SCDPT4'!SCDPT4_8299999_10</vt:lpstr>
      <vt:lpstr>'GMIC_2020-Annu_SCDPT4'!SCDPT4_8299999_11</vt:lpstr>
      <vt:lpstr>'GMIC_2020-Annu_SCDPT4'!SCDPT4_8299999_12</vt:lpstr>
      <vt:lpstr>'GMIC_2020-Annu_SCDPT4'!SCDPT4_8299999_13</vt:lpstr>
      <vt:lpstr>'GMIC_2020-Annu_SCDPT4'!SCDPT4_8299999_14</vt:lpstr>
      <vt:lpstr>'GMIC_2020-Annu_SCDPT4'!SCDPT4_8299999_15</vt:lpstr>
      <vt:lpstr>'GMIC_2020-Annu_SCDPT4'!SCDPT4_8299999_16</vt:lpstr>
      <vt:lpstr>'GMIC_2020-Annu_SCDPT4'!SCDPT4_8299999_17</vt:lpstr>
      <vt:lpstr>'GMIC_2020-Annu_SCDPT4'!SCDPT4_8299999_18</vt:lpstr>
      <vt:lpstr>'GMIC_2020-Annu_SCDPT4'!SCDPT4_8299999_19</vt:lpstr>
      <vt:lpstr>'GMIC_2020-Annu_SCDPT4'!SCDPT4_8299999_20</vt:lpstr>
      <vt:lpstr>'GMIC_2020-Annu_SCDPT4'!SCDPT4_8299999_7</vt:lpstr>
      <vt:lpstr>'GMIC_2020-Annu_SCDPT4'!SCDPT4_8299999_8</vt:lpstr>
      <vt:lpstr>'GMIC_2020-Annu_SCDPT4'!SCDPT4_8299999_9</vt:lpstr>
      <vt:lpstr>'GMIC_2020-Annu_SCDPT4'!SCDPT4_82BEGIN_1</vt:lpstr>
      <vt:lpstr>'GMIC_2020-Annu_SCDPT4'!SCDPT4_82BEGIN_10</vt:lpstr>
      <vt:lpstr>'GMIC_2020-Annu_SCDPT4'!SCDPT4_82BEGIN_11</vt:lpstr>
      <vt:lpstr>'GMIC_2020-Annu_SCDPT4'!SCDPT4_82BEGIN_12</vt:lpstr>
      <vt:lpstr>'GMIC_2020-Annu_SCDPT4'!SCDPT4_82BEGIN_13</vt:lpstr>
      <vt:lpstr>'GMIC_2020-Annu_SCDPT4'!SCDPT4_82BEGIN_14</vt:lpstr>
      <vt:lpstr>'GMIC_2020-Annu_SCDPT4'!SCDPT4_82BEGIN_15</vt:lpstr>
      <vt:lpstr>'GMIC_2020-Annu_SCDPT4'!SCDPT4_82BEGIN_16</vt:lpstr>
      <vt:lpstr>'GMIC_2020-Annu_SCDPT4'!SCDPT4_82BEGIN_17</vt:lpstr>
      <vt:lpstr>'GMIC_2020-Annu_SCDPT4'!SCDPT4_82BEGIN_18</vt:lpstr>
      <vt:lpstr>'GMIC_2020-Annu_SCDPT4'!SCDPT4_82BEGIN_19</vt:lpstr>
      <vt:lpstr>'GMIC_2020-Annu_SCDPT4'!SCDPT4_82BEGIN_2</vt:lpstr>
      <vt:lpstr>'GMIC_2020-Annu_SCDPT4'!SCDPT4_82BEGIN_20</vt:lpstr>
      <vt:lpstr>'GMIC_2020-Annu_SCDPT4'!SCDPT4_82BEGIN_21</vt:lpstr>
      <vt:lpstr>'GMIC_2020-Annu_SCDPT4'!SCDPT4_82BEGIN_22</vt:lpstr>
      <vt:lpstr>'GMIC_2020-Annu_SCDPT4'!SCDPT4_82BEGIN_23</vt:lpstr>
      <vt:lpstr>'GMIC_2020-Annu_SCDPT4'!SCDPT4_82BEGIN_24</vt:lpstr>
      <vt:lpstr>'GMIC_2020-Annu_SCDPT4'!SCDPT4_82BEGIN_25</vt:lpstr>
      <vt:lpstr>'GMIC_2020-Annu_SCDPT4'!SCDPT4_82BEGIN_26</vt:lpstr>
      <vt:lpstr>'GMIC_2020-Annu_SCDPT4'!SCDPT4_82BEGIN_3</vt:lpstr>
      <vt:lpstr>'GMIC_2020-Annu_SCDPT4'!SCDPT4_82BEGIN_4</vt:lpstr>
      <vt:lpstr>'GMIC_2020-Annu_SCDPT4'!SCDPT4_82BEGIN_5</vt:lpstr>
      <vt:lpstr>'GMIC_2020-Annu_SCDPT4'!SCDPT4_82BEGIN_6</vt:lpstr>
      <vt:lpstr>'GMIC_2020-Annu_SCDPT4'!SCDPT4_82BEGIN_7</vt:lpstr>
      <vt:lpstr>'GMIC_2020-Annu_SCDPT4'!SCDPT4_82BEGIN_8</vt:lpstr>
      <vt:lpstr>'GMIC_2020-Annu_SCDPT4'!SCDPT4_82BEGIN_9</vt:lpstr>
      <vt:lpstr>'GMIC_2020-Annu_SCDPT4'!SCDPT4_82ENDIN_10</vt:lpstr>
      <vt:lpstr>'GMIC_2020-Annu_SCDPT4'!SCDPT4_82ENDIN_11</vt:lpstr>
      <vt:lpstr>'GMIC_2020-Annu_SCDPT4'!SCDPT4_82ENDIN_12</vt:lpstr>
      <vt:lpstr>'GMIC_2020-Annu_SCDPT4'!SCDPT4_82ENDIN_13</vt:lpstr>
      <vt:lpstr>'GMIC_2020-Annu_SCDPT4'!SCDPT4_82ENDIN_14</vt:lpstr>
      <vt:lpstr>'GMIC_2020-Annu_SCDPT4'!SCDPT4_82ENDIN_15</vt:lpstr>
      <vt:lpstr>'GMIC_2020-Annu_SCDPT4'!SCDPT4_82ENDIN_16</vt:lpstr>
      <vt:lpstr>'GMIC_2020-Annu_SCDPT4'!SCDPT4_82ENDIN_17</vt:lpstr>
      <vt:lpstr>'GMIC_2020-Annu_SCDPT4'!SCDPT4_82ENDIN_18</vt:lpstr>
      <vt:lpstr>'GMIC_2020-Annu_SCDPT4'!SCDPT4_82ENDIN_19</vt:lpstr>
      <vt:lpstr>'GMIC_2020-Annu_SCDPT4'!SCDPT4_82ENDIN_2</vt:lpstr>
      <vt:lpstr>'GMIC_2020-Annu_SCDPT4'!SCDPT4_82ENDIN_20</vt:lpstr>
      <vt:lpstr>'GMIC_2020-Annu_SCDPT4'!SCDPT4_82ENDIN_21</vt:lpstr>
      <vt:lpstr>'GMIC_2020-Annu_SCDPT4'!SCDPT4_82ENDIN_22</vt:lpstr>
      <vt:lpstr>'GMIC_2020-Annu_SCDPT4'!SCDPT4_82ENDIN_23</vt:lpstr>
      <vt:lpstr>'GMIC_2020-Annu_SCDPT4'!SCDPT4_82ENDIN_24</vt:lpstr>
      <vt:lpstr>'GMIC_2020-Annu_SCDPT4'!SCDPT4_82ENDIN_25</vt:lpstr>
      <vt:lpstr>'GMIC_2020-Annu_SCDPT4'!SCDPT4_82ENDIN_26</vt:lpstr>
      <vt:lpstr>'GMIC_2020-Annu_SCDPT4'!SCDPT4_82ENDIN_3</vt:lpstr>
      <vt:lpstr>'GMIC_2020-Annu_SCDPT4'!SCDPT4_82ENDIN_4</vt:lpstr>
      <vt:lpstr>'GMIC_2020-Annu_SCDPT4'!SCDPT4_82ENDIN_5</vt:lpstr>
      <vt:lpstr>'GMIC_2020-Annu_SCDPT4'!SCDPT4_82ENDIN_6</vt:lpstr>
      <vt:lpstr>'GMIC_2020-Annu_SCDPT4'!SCDPT4_82ENDIN_7</vt:lpstr>
      <vt:lpstr>'GMIC_2020-Annu_SCDPT4'!SCDPT4_82ENDIN_8</vt:lpstr>
      <vt:lpstr>'GMIC_2020-Annu_SCDPT4'!SCDPT4_82ENDIN_9</vt:lpstr>
      <vt:lpstr>'GMIC_2020-Annu_SCDPT4'!SCDPT4_8399997_10</vt:lpstr>
      <vt:lpstr>'GMIC_2020-Annu_SCDPT4'!SCDPT4_8399997_11</vt:lpstr>
      <vt:lpstr>'GMIC_2020-Annu_SCDPT4'!SCDPT4_8399997_12</vt:lpstr>
      <vt:lpstr>'GMIC_2020-Annu_SCDPT4'!SCDPT4_8399997_13</vt:lpstr>
      <vt:lpstr>'GMIC_2020-Annu_SCDPT4'!SCDPT4_8399997_14</vt:lpstr>
      <vt:lpstr>'GMIC_2020-Annu_SCDPT4'!SCDPT4_8399997_15</vt:lpstr>
      <vt:lpstr>'GMIC_2020-Annu_SCDPT4'!SCDPT4_8399997_16</vt:lpstr>
      <vt:lpstr>'GMIC_2020-Annu_SCDPT4'!SCDPT4_8399997_17</vt:lpstr>
      <vt:lpstr>'GMIC_2020-Annu_SCDPT4'!SCDPT4_8399997_18</vt:lpstr>
      <vt:lpstr>'GMIC_2020-Annu_SCDPT4'!SCDPT4_8399997_19</vt:lpstr>
      <vt:lpstr>'GMIC_2020-Annu_SCDPT4'!SCDPT4_8399997_20</vt:lpstr>
      <vt:lpstr>'GMIC_2020-Annu_SCDPT4'!SCDPT4_8399997_7</vt:lpstr>
      <vt:lpstr>'GMIC_2020-Annu_SCDPT4'!SCDPT4_8399997_8</vt:lpstr>
      <vt:lpstr>'GMIC_2020-Annu_SCDPT4'!SCDPT4_8399997_9</vt:lpstr>
      <vt:lpstr>'GMIC_2020-Annu_SCDPT4'!SCDPT4_8399998_10</vt:lpstr>
      <vt:lpstr>'GMIC_2020-Annu_SCDPT4'!SCDPT4_8399998_11</vt:lpstr>
      <vt:lpstr>'GMIC_2020-Annu_SCDPT4'!SCDPT4_8399998_12</vt:lpstr>
      <vt:lpstr>'GMIC_2020-Annu_SCDPT4'!SCDPT4_8399998_13</vt:lpstr>
      <vt:lpstr>'GMIC_2020-Annu_SCDPT4'!SCDPT4_8399998_14</vt:lpstr>
      <vt:lpstr>'GMIC_2020-Annu_SCDPT4'!SCDPT4_8399998_15</vt:lpstr>
      <vt:lpstr>'GMIC_2020-Annu_SCDPT4'!SCDPT4_8399998_16</vt:lpstr>
      <vt:lpstr>'GMIC_2020-Annu_SCDPT4'!SCDPT4_8399998_17</vt:lpstr>
      <vt:lpstr>'GMIC_2020-Annu_SCDPT4'!SCDPT4_8399998_18</vt:lpstr>
      <vt:lpstr>'GMIC_2020-Annu_SCDPT4'!SCDPT4_8399998_19</vt:lpstr>
      <vt:lpstr>'GMIC_2020-Annu_SCDPT4'!SCDPT4_8399998_20</vt:lpstr>
      <vt:lpstr>'GMIC_2020-Annu_SCDPT4'!SCDPT4_8399998_7</vt:lpstr>
      <vt:lpstr>'GMIC_2020-Annu_SCDPT4'!SCDPT4_8399998_8</vt:lpstr>
      <vt:lpstr>'GMIC_2020-Annu_SCDPT4'!SCDPT4_8399998_9</vt:lpstr>
      <vt:lpstr>'GMIC_2020-Annu_SCDPT4'!SCDPT4_8399999_10</vt:lpstr>
      <vt:lpstr>'GMIC_2020-Annu_SCDPT4'!SCDPT4_8399999_11</vt:lpstr>
      <vt:lpstr>'GMIC_2020-Annu_SCDPT4'!SCDPT4_8399999_12</vt:lpstr>
      <vt:lpstr>'GMIC_2020-Annu_SCDPT4'!SCDPT4_8399999_13</vt:lpstr>
      <vt:lpstr>'GMIC_2020-Annu_SCDPT4'!SCDPT4_8399999_14</vt:lpstr>
      <vt:lpstr>'GMIC_2020-Annu_SCDPT4'!SCDPT4_8399999_15</vt:lpstr>
      <vt:lpstr>'GMIC_2020-Annu_SCDPT4'!SCDPT4_8399999_16</vt:lpstr>
      <vt:lpstr>'GMIC_2020-Annu_SCDPT4'!SCDPT4_8399999_17</vt:lpstr>
      <vt:lpstr>'GMIC_2020-Annu_SCDPT4'!SCDPT4_8399999_18</vt:lpstr>
      <vt:lpstr>'GMIC_2020-Annu_SCDPT4'!SCDPT4_8399999_19</vt:lpstr>
      <vt:lpstr>'GMIC_2020-Annu_SCDPT4'!SCDPT4_8399999_20</vt:lpstr>
      <vt:lpstr>'GMIC_2020-Annu_SCDPT4'!SCDPT4_8399999_7</vt:lpstr>
      <vt:lpstr>'GMIC_2020-Annu_SCDPT4'!SCDPT4_8399999_8</vt:lpstr>
      <vt:lpstr>'GMIC_2020-Annu_SCDPT4'!SCDPT4_8399999_9</vt:lpstr>
      <vt:lpstr>'GMIC_2020-Annu_SCDPT4'!SCDPT4_8400000_Range</vt:lpstr>
      <vt:lpstr>'GMIC_2020-Annu_SCDPT4'!SCDPT4_8499999_10</vt:lpstr>
      <vt:lpstr>'GMIC_2020-Annu_SCDPT4'!SCDPT4_8499999_11</vt:lpstr>
      <vt:lpstr>'GMIC_2020-Annu_SCDPT4'!SCDPT4_8499999_12</vt:lpstr>
      <vt:lpstr>'GMIC_2020-Annu_SCDPT4'!SCDPT4_8499999_13</vt:lpstr>
      <vt:lpstr>'GMIC_2020-Annu_SCDPT4'!SCDPT4_8499999_14</vt:lpstr>
      <vt:lpstr>'GMIC_2020-Annu_SCDPT4'!SCDPT4_8499999_15</vt:lpstr>
      <vt:lpstr>'GMIC_2020-Annu_SCDPT4'!SCDPT4_8499999_16</vt:lpstr>
      <vt:lpstr>'GMIC_2020-Annu_SCDPT4'!SCDPT4_8499999_17</vt:lpstr>
      <vt:lpstr>'GMIC_2020-Annu_SCDPT4'!SCDPT4_8499999_18</vt:lpstr>
      <vt:lpstr>'GMIC_2020-Annu_SCDPT4'!SCDPT4_8499999_19</vt:lpstr>
      <vt:lpstr>'GMIC_2020-Annu_SCDPT4'!SCDPT4_8499999_20</vt:lpstr>
      <vt:lpstr>'GMIC_2020-Annu_SCDPT4'!SCDPT4_8499999_7</vt:lpstr>
      <vt:lpstr>'GMIC_2020-Annu_SCDPT4'!SCDPT4_8499999_9</vt:lpstr>
      <vt:lpstr>'GMIC_2020-Annu_SCDPT4'!SCDPT4_84BEGIN_1</vt:lpstr>
      <vt:lpstr>'GMIC_2020-Annu_SCDPT4'!SCDPT4_84BEGIN_10</vt:lpstr>
      <vt:lpstr>'GMIC_2020-Annu_SCDPT4'!SCDPT4_84BEGIN_11</vt:lpstr>
      <vt:lpstr>'GMIC_2020-Annu_SCDPT4'!SCDPT4_84BEGIN_12</vt:lpstr>
      <vt:lpstr>'GMIC_2020-Annu_SCDPT4'!SCDPT4_84BEGIN_13</vt:lpstr>
      <vt:lpstr>'GMIC_2020-Annu_SCDPT4'!SCDPT4_84BEGIN_14</vt:lpstr>
      <vt:lpstr>'GMIC_2020-Annu_SCDPT4'!SCDPT4_84BEGIN_15</vt:lpstr>
      <vt:lpstr>'GMIC_2020-Annu_SCDPT4'!SCDPT4_84BEGIN_16</vt:lpstr>
      <vt:lpstr>'GMIC_2020-Annu_SCDPT4'!SCDPT4_84BEGIN_17</vt:lpstr>
      <vt:lpstr>'GMIC_2020-Annu_SCDPT4'!SCDPT4_84BEGIN_18</vt:lpstr>
      <vt:lpstr>'GMIC_2020-Annu_SCDPT4'!SCDPT4_84BEGIN_19</vt:lpstr>
      <vt:lpstr>'GMIC_2020-Annu_SCDPT4'!SCDPT4_84BEGIN_2</vt:lpstr>
      <vt:lpstr>'GMIC_2020-Annu_SCDPT4'!SCDPT4_84BEGIN_20</vt:lpstr>
      <vt:lpstr>'GMIC_2020-Annu_SCDPT4'!SCDPT4_84BEGIN_21</vt:lpstr>
      <vt:lpstr>'GMIC_2020-Annu_SCDPT4'!SCDPT4_84BEGIN_22</vt:lpstr>
      <vt:lpstr>'GMIC_2020-Annu_SCDPT4'!SCDPT4_84BEGIN_23</vt:lpstr>
      <vt:lpstr>'GMIC_2020-Annu_SCDPT4'!SCDPT4_84BEGIN_24</vt:lpstr>
      <vt:lpstr>'GMIC_2020-Annu_SCDPT4'!SCDPT4_84BEGIN_25</vt:lpstr>
      <vt:lpstr>'GMIC_2020-Annu_SCDPT4'!SCDPT4_84BEGIN_26</vt:lpstr>
      <vt:lpstr>'GMIC_2020-Annu_SCDPT4'!SCDPT4_84BEGIN_3</vt:lpstr>
      <vt:lpstr>'GMIC_2020-Annu_SCDPT4'!SCDPT4_84BEGIN_4</vt:lpstr>
      <vt:lpstr>'GMIC_2020-Annu_SCDPT4'!SCDPT4_84BEGIN_5</vt:lpstr>
      <vt:lpstr>'GMIC_2020-Annu_SCDPT4'!SCDPT4_84BEGIN_6</vt:lpstr>
      <vt:lpstr>'GMIC_2020-Annu_SCDPT4'!SCDPT4_84BEGIN_7</vt:lpstr>
      <vt:lpstr>'GMIC_2020-Annu_SCDPT4'!SCDPT4_84BEGIN_8</vt:lpstr>
      <vt:lpstr>'GMIC_2020-Annu_SCDPT4'!SCDPT4_84BEGIN_9</vt:lpstr>
      <vt:lpstr>'GMIC_2020-Annu_SCDPT4'!SCDPT4_84ENDIN_10</vt:lpstr>
      <vt:lpstr>'GMIC_2020-Annu_SCDPT4'!SCDPT4_84ENDIN_11</vt:lpstr>
      <vt:lpstr>'GMIC_2020-Annu_SCDPT4'!SCDPT4_84ENDIN_12</vt:lpstr>
      <vt:lpstr>'GMIC_2020-Annu_SCDPT4'!SCDPT4_84ENDIN_13</vt:lpstr>
      <vt:lpstr>'GMIC_2020-Annu_SCDPT4'!SCDPT4_84ENDIN_14</vt:lpstr>
      <vt:lpstr>'GMIC_2020-Annu_SCDPT4'!SCDPT4_84ENDIN_15</vt:lpstr>
      <vt:lpstr>'GMIC_2020-Annu_SCDPT4'!SCDPT4_84ENDIN_16</vt:lpstr>
      <vt:lpstr>'GMIC_2020-Annu_SCDPT4'!SCDPT4_84ENDIN_17</vt:lpstr>
      <vt:lpstr>'GMIC_2020-Annu_SCDPT4'!SCDPT4_84ENDIN_18</vt:lpstr>
      <vt:lpstr>'GMIC_2020-Annu_SCDPT4'!SCDPT4_84ENDIN_19</vt:lpstr>
      <vt:lpstr>'GMIC_2020-Annu_SCDPT4'!SCDPT4_84ENDIN_2</vt:lpstr>
      <vt:lpstr>'GMIC_2020-Annu_SCDPT4'!SCDPT4_84ENDIN_20</vt:lpstr>
      <vt:lpstr>'GMIC_2020-Annu_SCDPT4'!SCDPT4_84ENDIN_21</vt:lpstr>
      <vt:lpstr>'GMIC_2020-Annu_SCDPT4'!SCDPT4_84ENDIN_22</vt:lpstr>
      <vt:lpstr>'GMIC_2020-Annu_SCDPT4'!SCDPT4_84ENDIN_23</vt:lpstr>
      <vt:lpstr>'GMIC_2020-Annu_SCDPT4'!SCDPT4_84ENDIN_24</vt:lpstr>
      <vt:lpstr>'GMIC_2020-Annu_SCDPT4'!SCDPT4_84ENDIN_25</vt:lpstr>
      <vt:lpstr>'GMIC_2020-Annu_SCDPT4'!SCDPT4_84ENDIN_26</vt:lpstr>
      <vt:lpstr>'GMIC_2020-Annu_SCDPT4'!SCDPT4_84ENDIN_3</vt:lpstr>
      <vt:lpstr>'GMIC_2020-Annu_SCDPT4'!SCDPT4_84ENDIN_4</vt:lpstr>
      <vt:lpstr>'GMIC_2020-Annu_SCDPT4'!SCDPT4_84ENDIN_5</vt:lpstr>
      <vt:lpstr>'GMIC_2020-Annu_SCDPT4'!SCDPT4_84ENDIN_6</vt:lpstr>
      <vt:lpstr>'GMIC_2020-Annu_SCDPT4'!SCDPT4_84ENDIN_7</vt:lpstr>
      <vt:lpstr>'GMIC_2020-Annu_SCDPT4'!SCDPT4_84ENDIN_8</vt:lpstr>
      <vt:lpstr>'GMIC_2020-Annu_SCDPT4'!SCDPT4_84ENDIN_9</vt:lpstr>
      <vt:lpstr>'GMIC_2020-Annu_SCDPT4'!SCDPT4_8500000_Range</vt:lpstr>
      <vt:lpstr>'GMIC_2020-Annu_SCDPT4'!SCDPT4_8599999_10</vt:lpstr>
      <vt:lpstr>'GMIC_2020-Annu_SCDPT4'!SCDPT4_8599999_11</vt:lpstr>
      <vt:lpstr>'GMIC_2020-Annu_SCDPT4'!SCDPT4_8599999_12</vt:lpstr>
      <vt:lpstr>'GMIC_2020-Annu_SCDPT4'!SCDPT4_8599999_13</vt:lpstr>
      <vt:lpstr>'GMIC_2020-Annu_SCDPT4'!SCDPT4_8599999_14</vt:lpstr>
      <vt:lpstr>'GMIC_2020-Annu_SCDPT4'!SCDPT4_8599999_15</vt:lpstr>
      <vt:lpstr>'GMIC_2020-Annu_SCDPT4'!SCDPT4_8599999_16</vt:lpstr>
      <vt:lpstr>'GMIC_2020-Annu_SCDPT4'!SCDPT4_8599999_17</vt:lpstr>
      <vt:lpstr>'GMIC_2020-Annu_SCDPT4'!SCDPT4_8599999_18</vt:lpstr>
      <vt:lpstr>'GMIC_2020-Annu_SCDPT4'!SCDPT4_8599999_19</vt:lpstr>
      <vt:lpstr>'GMIC_2020-Annu_SCDPT4'!SCDPT4_8599999_20</vt:lpstr>
      <vt:lpstr>'GMIC_2020-Annu_SCDPT4'!SCDPT4_8599999_7</vt:lpstr>
      <vt:lpstr>'GMIC_2020-Annu_SCDPT4'!SCDPT4_8599999_9</vt:lpstr>
      <vt:lpstr>'GMIC_2020-Annu_SCDPT4'!SCDPT4_85BEGIN_1</vt:lpstr>
      <vt:lpstr>'GMIC_2020-Annu_SCDPT4'!SCDPT4_85BEGIN_10</vt:lpstr>
      <vt:lpstr>'GMIC_2020-Annu_SCDPT4'!SCDPT4_85BEGIN_11</vt:lpstr>
      <vt:lpstr>'GMIC_2020-Annu_SCDPT4'!SCDPT4_85BEGIN_12</vt:lpstr>
      <vt:lpstr>'GMIC_2020-Annu_SCDPT4'!SCDPT4_85BEGIN_13</vt:lpstr>
      <vt:lpstr>'GMIC_2020-Annu_SCDPT4'!SCDPT4_85BEGIN_14</vt:lpstr>
      <vt:lpstr>'GMIC_2020-Annu_SCDPT4'!SCDPT4_85BEGIN_15</vt:lpstr>
      <vt:lpstr>'GMIC_2020-Annu_SCDPT4'!SCDPT4_85BEGIN_16</vt:lpstr>
      <vt:lpstr>'GMIC_2020-Annu_SCDPT4'!SCDPT4_85BEGIN_17</vt:lpstr>
      <vt:lpstr>'GMIC_2020-Annu_SCDPT4'!SCDPT4_85BEGIN_18</vt:lpstr>
      <vt:lpstr>'GMIC_2020-Annu_SCDPT4'!SCDPT4_85BEGIN_19</vt:lpstr>
      <vt:lpstr>'GMIC_2020-Annu_SCDPT4'!SCDPT4_85BEGIN_2</vt:lpstr>
      <vt:lpstr>'GMIC_2020-Annu_SCDPT4'!SCDPT4_85BEGIN_20</vt:lpstr>
      <vt:lpstr>'GMIC_2020-Annu_SCDPT4'!SCDPT4_85BEGIN_21</vt:lpstr>
      <vt:lpstr>'GMIC_2020-Annu_SCDPT4'!SCDPT4_85BEGIN_22</vt:lpstr>
      <vt:lpstr>'GMIC_2020-Annu_SCDPT4'!SCDPT4_85BEGIN_23</vt:lpstr>
      <vt:lpstr>'GMIC_2020-Annu_SCDPT4'!SCDPT4_85BEGIN_24</vt:lpstr>
      <vt:lpstr>'GMIC_2020-Annu_SCDPT4'!SCDPT4_85BEGIN_25</vt:lpstr>
      <vt:lpstr>'GMIC_2020-Annu_SCDPT4'!SCDPT4_85BEGIN_26</vt:lpstr>
      <vt:lpstr>'GMIC_2020-Annu_SCDPT4'!SCDPT4_85BEGIN_3</vt:lpstr>
      <vt:lpstr>'GMIC_2020-Annu_SCDPT4'!SCDPT4_85BEGIN_4</vt:lpstr>
      <vt:lpstr>'GMIC_2020-Annu_SCDPT4'!SCDPT4_85BEGIN_5</vt:lpstr>
      <vt:lpstr>'GMIC_2020-Annu_SCDPT4'!SCDPT4_85BEGIN_6</vt:lpstr>
      <vt:lpstr>'GMIC_2020-Annu_SCDPT4'!SCDPT4_85BEGIN_7</vt:lpstr>
      <vt:lpstr>'GMIC_2020-Annu_SCDPT4'!SCDPT4_85BEGIN_8</vt:lpstr>
      <vt:lpstr>'GMIC_2020-Annu_SCDPT4'!SCDPT4_85BEGIN_9</vt:lpstr>
      <vt:lpstr>'GMIC_2020-Annu_SCDPT4'!SCDPT4_85ENDIN_10</vt:lpstr>
      <vt:lpstr>'GMIC_2020-Annu_SCDPT4'!SCDPT4_85ENDIN_11</vt:lpstr>
      <vt:lpstr>'GMIC_2020-Annu_SCDPT4'!SCDPT4_85ENDIN_12</vt:lpstr>
      <vt:lpstr>'GMIC_2020-Annu_SCDPT4'!SCDPT4_85ENDIN_13</vt:lpstr>
      <vt:lpstr>'GMIC_2020-Annu_SCDPT4'!SCDPT4_85ENDIN_14</vt:lpstr>
      <vt:lpstr>'GMIC_2020-Annu_SCDPT4'!SCDPT4_85ENDIN_15</vt:lpstr>
      <vt:lpstr>'GMIC_2020-Annu_SCDPT4'!SCDPT4_85ENDIN_16</vt:lpstr>
      <vt:lpstr>'GMIC_2020-Annu_SCDPT4'!SCDPT4_85ENDIN_17</vt:lpstr>
      <vt:lpstr>'GMIC_2020-Annu_SCDPT4'!SCDPT4_85ENDIN_18</vt:lpstr>
      <vt:lpstr>'GMIC_2020-Annu_SCDPT4'!SCDPT4_85ENDIN_19</vt:lpstr>
      <vt:lpstr>'GMIC_2020-Annu_SCDPT4'!SCDPT4_85ENDIN_2</vt:lpstr>
      <vt:lpstr>'GMIC_2020-Annu_SCDPT4'!SCDPT4_85ENDIN_20</vt:lpstr>
      <vt:lpstr>'GMIC_2020-Annu_SCDPT4'!SCDPT4_85ENDIN_21</vt:lpstr>
      <vt:lpstr>'GMIC_2020-Annu_SCDPT4'!SCDPT4_85ENDIN_22</vt:lpstr>
      <vt:lpstr>'GMIC_2020-Annu_SCDPT4'!SCDPT4_85ENDIN_23</vt:lpstr>
      <vt:lpstr>'GMIC_2020-Annu_SCDPT4'!SCDPT4_85ENDIN_24</vt:lpstr>
      <vt:lpstr>'GMIC_2020-Annu_SCDPT4'!SCDPT4_85ENDIN_25</vt:lpstr>
      <vt:lpstr>'GMIC_2020-Annu_SCDPT4'!SCDPT4_85ENDIN_26</vt:lpstr>
      <vt:lpstr>'GMIC_2020-Annu_SCDPT4'!SCDPT4_85ENDIN_3</vt:lpstr>
      <vt:lpstr>'GMIC_2020-Annu_SCDPT4'!SCDPT4_85ENDIN_4</vt:lpstr>
      <vt:lpstr>'GMIC_2020-Annu_SCDPT4'!SCDPT4_85ENDIN_5</vt:lpstr>
      <vt:lpstr>'GMIC_2020-Annu_SCDPT4'!SCDPT4_85ENDIN_6</vt:lpstr>
      <vt:lpstr>'GMIC_2020-Annu_SCDPT4'!SCDPT4_85ENDIN_7</vt:lpstr>
      <vt:lpstr>'GMIC_2020-Annu_SCDPT4'!SCDPT4_85ENDIN_8</vt:lpstr>
      <vt:lpstr>'GMIC_2020-Annu_SCDPT4'!SCDPT4_85ENDIN_9</vt:lpstr>
      <vt:lpstr>'GMIC_2020-Annu_SCDPT4'!SCDPT4_8600000_Range</vt:lpstr>
      <vt:lpstr>'GMIC_2020-Annu_SCDPT4'!SCDPT4_8699999_10</vt:lpstr>
      <vt:lpstr>'GMIC_2020-Annu_SCDPT4'!SCDPT4_8699999_11</vt:lpstr>
      <vt:lpstr>'GMIC_2020-Annu_SCDPT4'!SCDPT4_8699999_12</vt:lpstr>
      <vt:lpstr>'GMIC_2020-Annu_SCDPT4'!SCDPT4_8699999_13</vt:lpstr>
      <vt:lpstr>'GMIC_2020-Annu_SCDPT4'!SCDPT4_8699999_14</vt:lpstr>
      <vt:lpstr>'GMIC_2020-Annu_SCDPT4'!SCDPT4_8699999_15</vt:lpstr>
      <vt:lpstr>'GMIC_2020-Annu_SCDPT4'!SCDPT4_8699999_16</vt:lpstr>
      <vt:lpstr>'GMIC_2020-Annu_SCDPT4'!SCDPT4_8699999_17</vt:lpstr>
      <vt:lpstr>'GMIC_2020-Annu_SCDPT4'!SCDPT4_8699999_18</vt:lpstr>
      <vt:lpstr>'GMIC_2020-Annu_SCDPT4'!SCDPT4_8699999_19</vt:lpstr>
      <vt:lpstr>'GMIC_2020-Annu_SCDPT4'!SCDPT4_8699999_20</vt:lpstr>
      <vt:lpstr>'GMIC_2020-Annu_SCDPT4'!SCDPT4_8699999_7</vt:lpstr>
      <vt:lpstr>'GMIC_2020-Annu_SCDPT4'!SCDPT4_8699999_9</vt:lpstr>
      <vt:lpstr>'GMIC_2020-Annu_SCDPT4'!SCDPT4_86BEGIN_1</vt:lpstr>
      <vt:lpstr>'GMIC_2020-Annu_SCDPT4'!SCDPT4_86BEGIN_10</vt:lpstr>
      <vt:lpstr>'GMIC_2020-Annu_SCDPT4'!SCDPT4_86BEGIN_11</vt:lpstr>
      <vt:lpstr>'GMIC_2020-Annu_SCDPT4'!SCDPT4_86BEGIN_12</vt:lpstr>
      <vt:lpstr>'GMIC_2020-Annu_SCDPT4'!SCDPT4_86BEGIN_13</vt:lpstr>
      <vt:lpstr>'GMIC_2020-Annu_SCDPT4'!SCDPT4_86BEGIN_14</vt:lpstr>
      <vt:lpstr>'GMIC_2020-Annu_SCDPT4'!SCDPT4_86BEGIN_15</vt:lpstr>
      <vt:lpstr>'GMIC_2020-Annu_SCDPT4'!SCDPT4_86BEGIN_16</vt:lpstr>
      <vt:lpstr>'GMIC_2020-Annu_SCDPT4'!SCDPT4_86BEGIN_17</vt:lpstr>
      <vt:lpstr>'GMIC_2020-Annu_SCDPT4'!SCDPT4_86BEGIN_18</vt:lpstr>
      <vt:lpstr>'GMIC_2020-Annu_SCDPT4'!SCDPT4_86BEGIN_19</vt:lpstr>
      <vt:lpstr>'GMIC_2020-Annu_SCDPT4'!SCDPT4_86BEGIN_2</vt:lpstr>
      <vt:lpstr>'GMIC_2020-Annu_SCDPT4'!SCDPT4_86BEGIN_20</vt:lpstr>
      <vt:lpstr>'GMIC_2020-Annu_SCDPT4'!SCDPT4_86BEGIN_21</vt:lpstr>
      <vt:lpstr>'GMIC_2020-Annu_SCDPT4'!SCDPT4_86BEGIN_22</vt:lpstr>
      <vt:lpstr>'GMIC_2020-Annu_SCDPT4'!SCDPT4_86BEGIN_23</vt:lpstr>
      <vt:lpstr>'GMIC_2020-Annu_SCDPT4'!SCDPT4_86BEGIN_24</vt:lpstr>
      <vt:lpstr>'GMIC_2020-Annu_SCDPT4'!SCDPT4_86BEGIN_25</vt:lpstr>
      <vt:lpstr>'GMIC_2020-Annu_SCDPT4'!SCDPT4_86BEGIN_26</vt:lpstr>
      <vt:lpstr>'GMIC_2020-Annu_SCDPT4'!SCDPT4_86BEGIN_3</vt:lpstr>
      <vt:lpstr>'GMIC_2020-Annu_SCDPT4'!SCDPT4_86BEGIN_4</vt:lpstr>
      <vt:lpstr>'GMIC_2020-Annu_SCDPT4'!SCDPT4_86BEGIN_5</vt:lpstr>
      <vt:lpstr>'GMIC_2020-Annu_SCDPT4'!SCDPT4_86BEGIN_6</vt:lpstr>
      <vt:lpstr>'GMIC_2020-Annu_SCDPT4'!SCDPT4_86BEGIN_7</vt:lpstr>
      <vt:lpstr>'GMIC_2020-Annu_SCDPT4'!SCDPT4_86BEGIN_8</vt:lpstr>
      <vt:lpstr>'GMIC_2020-Annu_SCDPT4'!SCDPT4_86BEGIN_9</vt:lpstr>
      <vt:lpstr>'GMIC_2020-Annu_SCDPT4'!SCDPT4_86ENDIN_10</vt:lpstr>
      <vt:lpstr>'GMIC_2020-Annu_SCDPT4'!SCDPT4_86ENDIN_11</vt:lpstr>
      <vt:lpstr>'GMIC_2020-Annu_SCDPT4'!SCDPT4_86ENDIN_12</vt:lpstr>
      <vt:lpstr>'GMIC_2020-Annu_SCDPT4'!SCDPT4_86ENDIN_13</vt:lpstr>
      <vt:lpstr>'GMIC_2020-Annu_SCDPT4'!SCDPT4_86ENDIN_14</vt:lpstr>
      <vt:lpstr>'GMIC_2020-Annu_SCDPT4'!SCDPT4_86ENDIN_15</vt:lpstr>
      <vt:lpstr>'GMIC_2020-Annu_SCDPT4'!SCDPT4_86ENDIN_16</vt:lpstr>
      <vt:lpstr>'GMIC_2020-Annu_SCDPT4'!SCDPT4_86ENDIN_17</vt:lpstr>
      <vt:lpstr>'GMIC_2020-Annu_SCDPT4'!SCDPT4_86ENDIN_18</vt:lpstr>
      <vt:lpstr>'GMIC_2020-Annu_SCDPT4'!SCDPT4_86ENDIN_19</vt:lpstr>
      <vt:lpstr>'GMIC_2020-Annu_SCDPT4'!SCDPT4_86ENDIN_2</vt:lpstr>
      <vt:lpstr>'GMIC_2020-Annu_SCDPT4'!SCDPT4_86ENDIN_20</vt:lpstr>
      <vt:lpstr>'GMIC_2020-Annu_SCDPT4'!SCDPT4_86ENDIN_21</vt:lpstr>
      <vt:lpstr>'GMIC_2020-Annu_SCDPT4'!SCDPT4_86ENDIN_22</vt:lpstr>
      <vt:lpstr>'GMIC_2020-Annu_SCDPT4'!SCDPT4_86ENDIN_23</vt:lpstr>
      <vt:lpstr>'GMIC_2020-Annu_SCDPT4'!SCDPT4_86ENDIN_24</vt:lpstr>
      <vt:lpstr>'GMIC_2020-Annu_SCDPT4'!SCDPT4_86ENDIN_25</vt:lpstr>
      <vt:lpstr>'GMIC_2020-Annu_SCDPT4'!SCDPT4_86ENDIN_26</vt:lpstr>
      <vt:lpstr>'GMIC_2020-Annu_SCDPT4'!SCDPT4_86ENDIN_3</vt:lpstr>
      <vt:lpstr>'GMIC_2020-Annu_SCDPT4'!SCDPT4_86ENDIN_4</vt:lpstr>
      <vt:lpstr>'GMIC_2020-Annu_SCDPT4'!SCDPT4_86ENDIN_5</vt:lpstr>
      <vt:lpstr>'GMIC_2020-Annu_SCDPT4'!SCDPT4_86ENDIN_6</vt:lpstr>
      <vt:lpstr>'GMIC_2020-Annu_SCDPT4'!SCDPT4_86ENDIN_7</vt:lpstr>
      <vt:lpstr>'GMIC_2020-Annu_SCDPT4'!SCDPT4_86ENDIN_8</vt:lpstr>
      <vt:lpstr>'GMIC_2020-Annu_SCDPT4'!SCDPT4_86ENDIN_9</vt:lpstr>
      <vt:lpstr>'GMIC_2020-Annu_SCDPT4'!SCDPT4_8700000_Range</vt:lpstr>
      <vt:lpstr>'GMIC_2020-Annu_SCDPT4'!SCDPT4_8799999_10</vt:lpstr>
      <vt:lpstr>'GMIC_2020-Annu_SCDPT4'!SCDPT4_8799999_11</vt:lpstr>
      <vt:lpstr>'GMIC_2020-Annu_SCDPT4'!SCDPT4_8799999_12</vt:lpstr>
      <vt:lpstr>'GMIC_2020-Annu_SCDPT4'!SCDPT4_8799999_13</vt:lpstr>
      <vt:lpstr>'GMIC_2020-Annu_SCDPT4'!SCDPT4_8799999_14</vt:lpstr>
      <vt:lpstr>'GMIC_2020-Annu_SCDPT4'!SCDPT4_8799999_15</vt:lpstr>
      <vt:lpstr>'GMIC_2020-Annu_SCDPT4'!SCDPT4_8799999_16</vt:lpstr>
      <vt:lpstr>'GMIC_2020-Annu_SCDPT4'!SCDPT4_8799999_17</vt:lpstr>
      <vt:lpstr>'GMIC_2020-Annu_SCDPT4'!SCDPT4_8799999_18</vt:lpstr>
      <vt:lpstr>'GMIC_2020-Annu_SCDPT4'!SCDPT4_8799999_19</vt:lpstr>
      <vt:lpstr>'GMIC_2020-Annu_SCDPT4'!SCDPT4_8799999_20</vt:lpstr>
      <vt:lpstr>'GMIC_2020-Annu_SCDPT4'!SCDPT4_8799999_7</vt:lpstr>
      <vt:lpstr>'GMIC_2020-Annu_SCDPT4'!SCDPT4_8799999_9</vt:lpstr>
      <vt:lpstr>'GMIC_2020-Annu_SCDPT4'!SCDPT4_87BEGIN_1</vt:lpstr>
      <vt:lpstr>'GMIC_2020-Annu_SCDPT4'!SCDPT4_87BEGIN_10</vt:lpstr>
      <vt:lpstr>'GMIC_2020-Annu_SCDPT4'!SCDPT4_87BEGIN_11</vt:lpstr>
      <vt:lpstr>'GMIC_2020-Annu_SCDPT4'!SCDPT4_87BEGIN_12</vt:lpstr>
      <vt:lpstr>'GMIC_2020-Annu_SCDPT4'!SCDPT4_87BEGIN_13</vt:lpstr>
      <vt:lpstr>'GMIC_2020-Annu_SCDPT4'!SCDPT4_87BEGIN_14</vt:lpstr>
      <vt:lpstr>'GMIC_2020-Annu_SCDPT4'!SCDPT4_87BEGIN_15</vt:lpstr>
      <vt:lpstr>'GMIC_2020-Annu_SCDPT4'!SCDPT4_87BEGIN_16</vt:lpstr>
      <vt:lpstr>'GMIC_2020-Annu_SCDPT4'!SCDPT4_87BEGIN_17</vt:lpstr>
      <vt:lpstr>'GMIC_2020-Annu_SCDPT4'!SCDPT4_87BEGIN_18</vt:lpstr>
      <vt:lpstr>'GMIC_2020-Annu_SCDPT4'!SCDPT4_87BEGIN_19</vt:lpstr>
      <vt:lpstr>'GMIC_2020-Annu_SCDPT4'!SCDPT4_87BEGIN_2</vt:lpstr>
      <vt:lpstr>'GMIC_2020-Annu_SCDPT4'!SCDPT4_87BEGIN_20</vt:lpstr>
      <vt:lpstr>'GMIC_2020-Annu_SCDPT4'!SCDPT4_87BEGIN_21</vt:lpstr>
      <vt:lpstr>'GMIC_2020-Annu_SCDPT4'!SCDPT4_87BEGIN_22</vt:lpstr>
      <vt:lpstr>'GMIC_2020-Annu_SCDPT4'!SCDPT4_87BEGIN_23</vt:lpstr>
      <vt:lpstr>'GMIC_2020-Annu_SCDPT4'!SCDPT4_87BEGIN_24</vt:lpstr>
      <vt:lpstr>'GMIC_2020-Annu_SCDPT4'!SCDPT4_87BEGIN_25</vt:lpstr>
      <vt:lpstr>'GMIC_2020-Annu_SCDPT4'!SCDPT4_87BEGIN_26</vt:lpstr>
      <vt:lpstr>'GMIC_2020-Annu_SCDPT4'!SCDPT4_87BEGIN_3</vt:lpstr>
      <vt:lpstr>'GMIC_2020-Annu_SCDPT4'!SCDPT4_87BEGIN_4</vt:lpstr>
      <vt:lpstr>'GMIC_2020-Annu_SCDPT4'!SCDPT4_87BEGIN_5</vt:lpstr>
      <vt:lpstr>'GMIC_2020-Annu_SCDPT4'!SCDPT4_87BEGIN_6</vt:lpstr>
      <vt:lpstr>'GMIC_2020-Annu_SCDPT4'!SCDPT4_87BEGIN_7</vt:lpstr>
      <vt:lpstr>'GMIC_2020-Annu_SCDPT4'!SCDPT4_87BEGIN_8</vt:lpstr>
      <vt:lpstr>'GMIC_2020-Annu_SCDPT4'!SCDPT4_87BEGIN_9</vt:lpstr>
      <vt:lpstr>'GMIC_2020-Annu_SCDPT4'!SCDPT4_87ENDIN_10</vt:lpstr>
      <vt:lpstr>'GMIC_2020-Annu_SCDPT4'!SCDPT4_87ENDIN_11</vt:lpstr>
      <vt:lpstr>'GMIC_2020-Annu_SCDPT4'!SCDPT4_87ENDIN_12</vt:lpstr>
      <vt:lpstr>'GMIC_2020-Annu_SCDPT4'!SCDPT4_87ENDIN_13</vt:lpstr>
      <vt:lpstr>'GMIC_2020-Annu_SCDPT4'!SCDPT4_87ENDIN_14</vt:lpstr>
      <vt:lpstr>'GMIC_2020-Annu_SCDPT4'!SCDPT4_87ENDIN_15</vt:lpstr>
      <vt:lpstr>'GMIC_2020-Annu_SCDPT4'!SCDPT4_87ENDIN_16</vt:lpstr>
      <vt:lpstr>'GMIC_2020-Annu_SCDPT4'!SCDPT4_87ENDIN_17</vt:lpstr>
      <vt:lpstr>'GMIC_2020-Annu_SCDPT4'!SCDPT4_87ENDIN_18</vt:lpstr>
      <vt:lpstr>'GMIC_2020-Annu_SCDPT4'!SCDPT4_87ENDIN_19</vt:lpstr>
      <vt:lpstr>'GMIC_2020-Annu_SCDPT4'!SCDPT4_87ENDIN_2</vt:lpstr>
      <vt:lpstr>'GMIC_2020-Annu_SCDPT4'!SCDPT4_87ENDIN_20</vt:lpstr>
      <vt:lpstr>'GMIC_2020-Annu_SCDPT4'!SCDPT4_87ENDIN_21</vt:lpstr>
      <vt:lpstr>'GMIC_2020-Annu_SCDPT4'!SCDPT4_87ENDIN_22</vt:lpstr>
      <vt:lpstr>'GMIC_2020-Annu_SCDPT4'!SCDPT4_87ENDIN_23</vt:lpstr>
      <vt:lpstr>'GMIC_2020-Annu_SCDPT4'!SCDPT4_87ENDIN_24</vt:lpstr>
      <vt:lpstr>'GMIC_2020-Annu_SCDPT4'!SCDPT4_87ENDIN_25</vt:lpstr>
      <vt:lpstr>'GMIC_2020-Annu_SCDPT4'!SCDPT4_87ENDIN_26</vt:lpstr>
      <vt:lpstr>'GMIC_2020-Annu_SCDPT4'!SCDPT4_87ENDIN_3</vt:lpstr>
      <vt:lpstr>'GMIC_2020-Annu_SCDPT4'!SCDPT4_87ENDIN_4</vt:lpstr>
      <vt:lpstr>'GMIC_2020-Annu_SCDPT4'!SCDPT4_87ENDIN_5</vt:lpstr>
      <vt:lpstr>'GMIC_2020-Annu_SCDPT4'!SCDPT4_87ENDIN_6</vt:lpstr>
      <vt:lpstr>'GMIC_2020-Annu_SCDPT4'!SCDPT4_87ENDIN_7</vt:lpstr>
      <vt:lpstr>'GMIC_2020-Annu_SCDPT4'!SCDPT4_87ENDIN_8</vt:lpstr>
      <vt:lpstr>'GMIC_2020-Annu_SCDPT4'!SCDPT4_87ENDIN_9</vt:lpstr>
      <vt:lpstr>'GMIC_2020-Annu_SCDPT4'!SCDPT4_8999997_10</vt:lpstr>
      <vt:lpstr>'GMIC_2020-Annu_SCDPT4'!SCDPT4_8999997_11</vt:lpstr>
      <vt:lpstr>'GMIC_2020-Annu_SCDPT4'!SCDPT4_8999997_12</vt:lpstr>
      <vt:lpstr>'GMIC_2020-Annu_SCDPT4'!SCDPT4_8999997_13</vt:lpstr>
      <vt:lpstr>'GMIC_2020-Annu_SCDPT4'!SCDPT4_8999997_14</vt:lpstr>
      <vt:lpstr>'GMIC_2020-Annu_SCDPT4'!SCDPT4_8999997_15</vt:lpstr>
      <vt:lpstr>'GMIC_2020-Annu_SCDPT4'!SCDPT4_8999997_16</vt:lpstr>
      <vt:lpstr>'GMIC_2020-Annu_SCDPT4'!SCDPT4_8999997_17</vt:lpstr>
      <vt:lpstr>'GMIC_2020-Annu_SCDPT4'!SCDPT4_8999997_18</vt:lpstr>
      <vt:lpstr>'GMIC_2020-Annu_SCDPT4'!SCDPT4_8999997_19</vt:lpstr>
      <vt:lpstr>'GMIC_2020-Annu_SCDPT4'!SCDPT4_8999997_20</vt:lpstr>
      <vt:lpstr>'GMIC_2020-Annu_SCDPT4'!SCDPT4_8999997_7</vt:lpstr>
      <vt:lpstr>'GMIC_2020-Annu_SCDPT4'!SCDPT4_8999997_9</vt:lpstr>
      <vt:lpstr>'GMIC_2020-Annu_SCDPT4'!SCDPT4_8999998_10</vt:lpstr>
      <vt:lpstr>'GMIC_2020-Annu_SCDPT4'!SCDPT4_8999998_11</vt:lpstr>
      <vt:lpstr>'GMIC_2020-Annu_SCDPT4'!SCDPT4_8999998_12</vt:lpstr>
      <vt:lpstr>'GMIC_2020-Annu_SCDPT4'!SCDPT4_8999998_13</vt:lpstr>
      <vt:lpstr>'GMIC_2020-Annu_SCDPT4'!SCDPT4_8999998_14</vt:lpstr>
      <vt:lpstr>'GMIC_2020-Annu_SCDPT4'!SCDPT4_8999998_15</vt:lpstr>
      <vt:lpstr>'GMIC_2020-Annu_SCDPT4'!SCDPT4_8999998_16</vt:lpstr>
      <vt:lpstr>'GMIC_2020-Annu_SCDPT4'!SCDPT4_8999998_17</vt:lpstr>
      <vt:lpstr>'GMIC_2020-Annu_SCDPT4'!SCDPT4_8999998_18</vt:lpstr>
      <vt:lpstr>'GMIC_2020-Annu_SCDPT4'!SCDPT4_8999998_19</vt:lpstr>
      <vt:lpstr>'GMIC_2020-Annu_SCDPT4'!SCDPT4_8999998_20</vt:lpstr>
      <vt:lpstr>'GMIC_2020-Annu_SCDPT4'!SCDPT4_8999998_7</vt:lpstr>
      <vt:lpstr>'GMIC_2020-Annu_SCDPT4'!SCDPT4_8999998_9</vt:lpstr>
      <vt:lpstr>'GMIC_2020-Annu_SCDPT4'!SCDPT4_8999999_10</vt:lpstr>
      <vt:lpstr>'GMIC_2020-Annu_SCDPT4'!SCDPT4_8999999_11</vt:lpstr>
      <vt:lpstr>'GMIC_2020-Annu_SCDPT4'!SCDPT4_8999999_12</vt:lpstr>
      <vt:lpstr>'GMIC_2020-Annu_SCDPT4'!SCDPT4_8999999_13</vt:lpstr>
      <vt:lpstr>'GMIC_2020-Annu_SCDPT4'!SCDPT4_8999999_14</vt:lpstr>
      <vt:lpstr>'GMIC_2020-Annu_SCDPT4'!SCDPT4_8999999_15</vt:lpstr>
      <vt:lpstr>'GMIC_2020-Annu_SCDPT4'!SCDPT4_8999999_16</vt:lpstr>
      <vt:lpstr>'GMIC_2020-Annu_SCDPT4'!SCDPT4_8999999_17</vt:lpstr>
      <vt:lpstr>'GMIC_2020-Annu_SCDPT4'!SCDPT4_8999999_18</vt:lpstr>
      <vt:lpstr>'GMIC_2020-Annu_SCDPT4'!SCDPT4_8999999_19</vt:lpstr>
      <vt:lpstr>'GMIC_2020-Annu_SCDPT4'!SCDPT4_8999999_20</vt:lpstr>
      <vt:lpstr>'GMIC_2020-Annu_SCDPT4'!SCDPT4_8999999_7</vt:lpstr>
      <vt:lpstr>'GMIC_2020-Annu_SCDPT4'!SCDPT4_8999999_9</vt:lpstr>
      <vt:lpstr>'GMIC_2020-Annu_SCDPT4'!SCDPT4_9000000_Range</vt:lpstr>
      <vt:lpstr>'GMIC_2020-Annu_SCDPT4'!SCDPT4_9099999_10</vt:lpstr>
      <vt:lpstr>'GMIC_2020-Annu_SCDPT4'!SCDPT4_9099999_11</vt:lpstr>
      <vt:lpstr>'GMIC_2020-Annu_SCDPT4'!SCDPT4_9099999_12</vt:lpstr>
      <vt:lpstr>'GMIC_2020-Annu_SCDPT4'!SCDPT4_9099999_13</vt:lpstr>
      <vt:lpstr>'GMIC_2020-Annu_SCDPT4'!SCDPT4_9099999_14</vt:lpstr>
      <vt:lpstr>'GMIC_2020-Annu_SCDPT4'!SCDPT4_9099999_15</vt:lpstr>
      <vt:lpstr>'GMIC_2020-Annu_SCDPT4'!SCDPT4_9099999_16</vt:lpstr>
      <vt:lpstr>'GMIC_2020-Annu_SCDPT4'!SCDPT4_9099999_17</vt:lpstr>
      <vt:lpstr>'GMIC_2020-Annu_SCDPT4'!SCDPT4_9099999_18</vt:lpstr>
      <vt:lpstr>'GMIC_2020-Annu_SCDPT4'!SCDPT4_9099999_19</vt:lpstr>
      <vt:lpstr>'GMIC_2020-Annu_SCDPT4'!SCDPT4_9099999_20</vt:lpstr>
      <vt:lpstr>'GMIC_2020-Annu_SCDPT4'!SCDPT4_9099999_7</vt:lpstr>
      <vt:lpstr>'GMIC_2020-Annu_SCDPT4'!SCDPT4_9099999_9</vt:lpstr>
      <vt:lpstr>'GMIC_2020-Annu_SCDPT4'!SCDPT4_90BEGIN_1</vt:lpstr>
      <vt:lpstr>'GMIC_2020-Annu_SCDPT4'!SCDPT4_90BEGIN_10</vt:lpstr>
      <vt:lpstr>'GMIC_2020-Annu_SCDPT4'!SCDPT4_90BEGIN_11</vt:lpstr>
      <vt:lpstr>'GMIC_2020-Annu_SCDPT4'!SCDPT4_90BEGIN_12</vt:lpstr>
      <vt:lpstr>'GMIC_2020-Annu_SCDPT4'!SCDPT4_90BEGIN_13</vt:lpstr>
      <vt:lpstr>'GMIC_2020-Annu_SCDPT4'!SCDPT4_90BEGIN_14</vt:lpstr>
      <vt:lpstr>'GMIC_2020-Annu_SCDPT4'!SCDPT4_90BEGIN_15</vt:lpstr>
      <vt:lpstr>'GMIC_2020-Annu_SCDPT4'!SCDPT4_90BEGIN_16</vt:lpstr>
      <vt:lpstr>'GMIC_2020-Annu_SCDPT4'!SCDPT4_90BEGIN_17</vt:lpstr>
      <vt:lpstr>'GMIC_2020-Annu_SCDPT4'!SCDPT4_90BEGIN_18</vt:lpstr>
      <vt:lpstr>'GMIC_2020-Annu_SCDPT4'!SCDPT4_90BEGIN_19</vt:lpstr>
      <vt:lpstr>'GMIC_2020-Annu_SCDPT4'!SCDPT4_90BEGIN_2</vt:lpstr>
      <vt:lpstr>'GMIC_2020-Annu_SCDPT4'!SCDPT4_90BEGIN_20</vt:lpstr>
      <vt:lpstr>'GMIC_2020-Annu_SCDPT4'!SCDPT4_90BEGIN_21</vt:lpstr>
      <vt:lpstr>'GMIC_2020-Annu_SCDPT4'!SCDPT4_90BEGIN_22</vt:lpstr>
      <vt:lpstr>'GMIC_2020-Annu_SCDPT4'!SCDPT4_90BEGIN_23</vt:lpstr>
      <vt:lpstr>'GMIC_2020-Annu_SCDPT4'!SCDPT4_90BEGIN_24</vt:lpstr>
      <vt:lpstr>'GMIC_2020-Annu_SCDPT4'!SCDPT4_90BEGIN_25</vt:lpstr>
      <vt:lpstr>'GMIC_2020-Annu_SCDPT4'!SCDPT4_90BEGIN_26</vt:lpstr>
      <vt:lpstr>'GMIC_2020-Annu_SCDPT4'!SCDPT4_90BEGIN_3</vt:lpstr>
      <vt:lpstr>'GMIC_2020-Annu_SCDPT4'!SCDPT4_90BEGIN_4</vt:lpstr>
      <vt:lpstr>'GMIC_2020-Annu_SCDPT4'!SCDPT4_90BEGIN_5</vt:lpstr>
      <vt:lpstr>'GMIC_2020-Annu_SCDPT4'!SCDPT4_90BEGIN_6</vt:lpstr>
      <vt:lpstr>'GMIC_2020-Annu_SCDPT4'!SCDPT4_90BEGIN_7</vt:lpstr>
      <vt:lpstr>'GMIC_2020-Annu_SCDPT4'!SCDPT4_90BEGIN_8</vt:lpstr>
      <vt:lpstr>'GMIC_2020-Annu_SCDPT4'!SCDPT4_90BEGIN_9</vt:lpstr>
      <vt:lpstr>'GMIC_2020-Annu_SCDPT4'!SCDPT4_90ENDIN_10</vt:lpstr>
      <vt:lpstr>'GMIC_2020-Annu_SCDPT4'!SCDPT4_90ENDIN_11</vt:lpstr>
      <vt:lpstr>'GMIC_2020-Annu_SCDPT4'!SCDPT4_90ENDIN_12</vt:lpstr>
      <vt:lpstr>'GMIC_2020-Annu_SCDPT4'!SCDPT4_90ENDIN_13</vt:lpstr>
      <vt:lpstr>'GMIC_2020-Annu_SCDPT4'!SCDPT4_90ENDIN_14</vt:lpstr>
      <vt:lpstr>'GMIC_2020-Annu_SCDPT4'!SCDPT4_90ENDIN_15</vt:lpstr>
      <vt:lpstr>'GMIC_2020-Annu_SCDPT4'!SCDPT4_90ENDIN_16</vt:lpstr>
      <vt:lpstr>'GMIC_2020-Annu_SCDPT4'!SCDPT4_90ENDIN_17</vt:lpstr>
      <vt:lpstr>'GMIC_2020-Annu_SCDPT4'!SCDPT4_90ENDIN_18</vt:lpstr>
      <vt:lpstr>'GMIC_2020-Annu_SCDPT4'!SCDPT4_90ENDIN_19</vt:lpstr>
      <vt:lpstr>'GMIC_2020-Annu_SCDPT4'!SCDPT4_90ENDIN_2</vt:lpstr>
      <vt:lpstr>'GMIC_2020-Annu_SCDPT4'!SCDPT4_90ENDIN_20</vt:lpstr>
      <vt:lpstr>'GMIC_2020-Annu_SCDPT4'!SCDPT4_90ENDIN_21</vt:lpstr>
      <vt:lpstr>'GMIC_2020-Annu_SCDPT4'!SCDPT4_90ENDIN_22</vt:lpstr>
      <vt:lpstr>'GMIC_2020-Annu_SCDPT4'!SCDPT4_90ENDIN_23</vt:lpstr>
      <vt:lpstr>'GMIC_2020-Annu_SCDPT4'!SCDPT4_90ENDIN_24</vt:lpstr>
      <vt:lpstr>'GMIC_2020-Annu_SCDPT4'!SCDPT4_90ENDIN_25</vt:lpstr>
      <vt:lpstr>'GMIC_2020-Annu_SCDPT4'!SCDPT4_90ENDIN_26</vt:lpstr>
      <vt:lpstr>'GMIC_2020-Annu_SCDPT4'!SCDPT4_90ENDIN_3</vt:lpstr>
      <vt:lpstr>'GMIC_2020-Annu_SCDPT4'!SCDPT4_90ENDIN_4</vt:lpstr>
      <vt:lpstr>'GMIC_2020-Annu_SCDPT4'!SCDPT4_90ENDIN_5</vt:lpstr>
      <vt:lpstr>'GMIC_2020-Annu_SCDPT4'!SCDPT4_90ENDIN_6</vt:lpstr>
      <vt:lpstr>'GMIC_2020-Annu_SCDPT4'!SCDPT4_90ENDIN_7</vt:lpstr>
      <vt:lpstr>'GMIC_2020-Annu_SCDPT4'!SCDPT4_90ENDIN_8</vt:lpstr>
      <vt:lpstr>'GMIC_2020-Annu_SCDPT4'!SCDPT4_90ENDIN_9</vt:lpstr>
      <vt:lpstr>'GMIC_2020-Annu_SCDPT4'!SCDPT4_9100000_Range</vt:lpstr>
      <vt:lpstr>'GMIC_2020-Annu_SCDPT4'!SCDPT4_9199999_10</vt:lpstr>
      <vt:lpstr>'GMIC_2020-Annu_SCDPT4'!SCDPT4_9199999_11</vt:lpstr>
      <vt:lpstr>'GMIC_2020-Annu_SCDPT4'!SCDPT4_9199999_12</vt:lpstr>
      <vt:lpstr>'GMIC_2020-Annu_SCDPT4'!SCDPT4_9199999_13</vt:lpstr>
      <vt:lpstr>'GMIC_2020-Annu_SCDPT4'!SCDPT4_9199999_14</vt:lpstr>
      <vt:lpstr>'GMIC_2020-Annu_SCDPT4'!SCDPT4_9199999_15</vt:lpstr>
      <vt:lpstr>'GMIC_2020-Annu_SCDPT4'!SCDPT4_9199999_16</vt:lpstr>
      <vt:lpstr>'GMIC_2020-Annu_SCDPT4'!SCDPT4_9199999_17</vt:lpstr>
      <vt:lpstr>'GMIC_2020-Annu_SCDPT4'!SCDPT4_9199999_18</vt:lpstr>
      <vt:lpstr>'GMIC_2020-Annu_SCDPT4'!SCDPT4_9199999_19</vt:lpstr>
      <vt:lpstr>'GMIC_2020-Annu_SCDPT4'!SCDPT4_9199999_20</vt:lpstr>
      <vt:lpstr>'GMIC_2020-Annu_SCDPT4'!SCDPT4_9199999_7</vt:lpstr>
      <vt:lpstr>'GMIC_2020-Annu_SCDPT4'!SCDPT4_9199999_9</vt:lpstr>
      <vt:lpstr>'GMIC_2020-Annu_SCDPT4'!SCDPT4_91BEGIN_1</vt:lpstr>
      <vt:lpstr>'GMIC_2020-Annu_SCDPT4'!SCDPT4_91BEGIN_10</vt:lpstr>
      <vt:lpstr>'GMIC_2020-Annu_SCDPT4'!SCDPT4_91BEGIN_11</vt:lpstr>
      <vt:lpstr>'GMIC_2020-Annu_SCDPT4'!SCDPT4_91BEGIN_12</vt:lpstr>
      <vt:lpstr>'GMIC_2020-Annu_SCDPT4'!SCDPT4_91BEGIN_13</vt:lpstr>
      <vt:lpstr>'GMIC_2020-Annu_SCDPT4'!SCDPT4_91BEGIN_14</vt:lpstr>
      <vt:lpstr>'GMIC_2020-Annu_SCDPT4'!SCDPT4_91BEGIN_15</vt:lpstr>
      <vt:lpstr>'GMIC_2020-Annu_SCDPT4'!SCDPT4_91BEGIN_16</vt:lpstr>
      <vt:lpstr>'GMIC_2020-Annu_SCDPT4'!SCDPT4_91BEGIN_17</vt:lpstr>
      <vt:lpstr>'GMIC_2020-Annu_SCDPT4'!SCDPT4_91BEGIN_18</vt:lpstr>
      <vt:lpstr>'GMIC_2020-Annu_SCDPT4'!SCDPT4_91BEGIN_19</vt:lpstr>
      <vt:lpstr>'GMIC_2020-Annu_SCDPT4'!SCDPT4_91BEGIN_2</vt:lpstr>
      <vt:lpstr>'GMIC_2020-Annu_SCDPT4'!SCDPT4_91BEGIN_20</vt:lpstr>
      <vt:lpstr>'GMIC_2020-Annu_SCDPT4'!SCDPT4_91BEGIN_21</vt:lpstr>
      <vt:lpstr>'GMIC_2020-Annu_SCDPT4'!SCDPT4_91BEGIN_22</vt:lpstr>
      <vt:lpstr>'GMIC_2020-Annu_SCDPT4'!SCDPT4_91BEGIN_23</vt:lpstr>
      <vt:lpstr>'GMIC_2020-Annu_SCDPT4'!SCDPT4_91BEGIN_24</vt:lpstr>
      <vt:lpstr>'GMIC_2020-Annu_SCDPT4'!SCDPT4_91BEGIN_25</vt:lpstr>
      <vt:lpstr>'GMIC_2020-Annu_SCDPT4'!SCDPT4_91BEGIN_26</vt:lpstr>
      <vt:lpstr>'GMIC_2020-Annu_SCDPT4'!SCDPT4_91BEGIN_3</vt:lpstr>
      <vt:lpstr>'GMIC_2020-Annu_SCDPT4'!SCDPT4_91BEGIN_4</vt:lpstr>
      <vt:lpstr>'GMIC_2020-Annu_SCDPT4'!SCDPT4_91BEGIN_5</vt:lpstr>
      <vt:lpstr>'GMIC_2020-Annu_SCDPT4'!SCDPT4_91BEGIN_6</vt:lpstr>
      <vt:lpstr>'GMIC_2020-Annu_SCDPT4'!SCDPT4_91BEGIN_7</vt:lpstr>
      <vt:lpstr>'GMIC_2020-Annu_SCDPT4'!SCDPT4_91BEGIN_8</vt:lpstr>
      <vt:lpstr>'GMIC_2020-Annu_SCDPT4'!SCDPT4_91BEGIN_9</vt:lpstr>
      <vt:lpstr>'GMIC_2020-Annu_SCDPT4'!SCDPT4_91ENDIN_10</vt:lpstr>
      <vt:lpstr>'GMIC_2020-Annu_SCDPT4'!SCDPT4_91ENDIN_11</vt:lpstr>
      <vt:lpstr>'GMIC_2020-Annu_SCDPT4'!SCDPT4_91ENDIN_12</vt:lpstr>
      <vt:lpstr>'GMIC_2020-Annu_SCDPT4'!SCDPT4_91ENDIN_13</vt:lpstr>
      <vt:lpstr>'GMIC_2020-Annu_SCDPT4'!SCDPT4_91ENDIN_14</vt:lpstr>
      <vt:lpstr>'GMIC_2020-Annu_SCDPT4'!SCDPT4_91ENDIN_15</vt:lpstr>
      <vt:lpstr>'GMIC_2020-Annu_SCDPT4'!SCDPT4_91ENDIN_16</vt:lpstr>
      <vt:lpstr>'GMIC_2020-Annu_SCDPT4'!SCDPT4_91ENDIN_17</vt:lpstr>
      <vt:lpstr>'GMIC_2020-Annu_SCDPT4'!SCDPT4_91ENDIN_18</vt:lpstr>
      <vt:lpstr>'GMIC_2020-Annu_SCDPT4'!SCDPT4_91ENDIN_19</vt:lpstr>
      <vt:lpstr>'GMIC_2020-Annu_SCDPT4'!SCDPT4_91ENDIN_2</vt:lpstr>
      <vt:lpstr>'GMIC_2020-Annu_SCDPT4'!SCDPT4_91ENDIN_20</vt:lpstr>
      <vt:lpstr>'GMIC_2020-Annu_SCDPT4'!SCDPT4_91ENDIN_21</vt:lpstr>
      <vt:lpstr>'GMIC_2020-Annu_SCDPT4'!SCDPT4_91ENDIN_22</vt:lpstr>
      <vt:lpstr>'GMIC_2020-Annu_SCDPT4'!SCDPT4_91ENDIN_23</vt:lpstr>
      <vt:lpstr>'GMIC_2020-Annu_SCDPT4'!SCDPT4_91ENDIN_24</vt:lpstr>
      <vt:lpstr>'GMIC_2020-Annu_SCDPT4'!SCDPT4_91ENDIN_25</vt:lpstr>
      <vt:lpstr>'GMIC_2020-Annu_SCDPT4'!SCDPT4_91ENDIN_26</vt:lpstr>
      <vt:lpstr>'GMIC_2020-Annu_SCDPT4'!SCDPT4_91ENDIN_3</vt:lpstr>
      <vt:lpstr>'GMIC_2020-Annu_SCDPT4'!SCDPT4_91ENDIN_4</vt:lpstr>
      <vt:lpstr>'GMIC_2020-Annu_SCDPT4'!SCDPT4_91ENDIN_5</vt:lpstr>
      <vt:lpstr>'GMIC_2020-Annu_SCDPT4'!SCDPT4_91ENDIN_6</vt:lpstr>
      <vt:lpstr>'GMIC_2020-Annu_SCDPT4'!SCDPT4_91ENDIN_7</vt:lpstr>
      <vt:lpstr>'GMIC_2020-Annu_SCDPT4'!SCDPT4_91ENDIN_8</vt:lpstr>
      <vt:lpstr>'GMIC_2020-Annu_SCDPT4'!SCDPT4_91ENDIN_9</vt:lpstr>
      <vt:lpstr>'GMIC_2020-Annu_SCDPT4'!SCDPT4_9200000_Range</vt:lpstr>
      <vt:lpstr>'GMIC_2020-Annu_SCDPT4'!SCDPT4_9299999_10</vt:lpstr>
      <vt:lpstr>'GMIC_2020-Annu_SCDPT4'!SCDPT4_9299999_11</vt:lpstr>
      <vt:lpstr>'GMIC_2020-Annu_SCDPT4'!SCDPT4_9299999_12</vt:lpstr>
      <vt:lpstr>'GMIC_2020-Annu_SCDPT4'!SCDPT4_9299999_13</vt:lpstr>
      <vt:lpstr>'GMIC_2020-Annu_SCDPT4'!SCDPT4_9299999_14</vt:lpstr>
      <vt:lpstr>'GMIC_2020-Annu_SCDPT4'!SCDPT4_9299999_15</vt:lpstr>
      <vt:lpstr>'GMIC_2020-Annu_SCDPT4'!SCDPT4_9299999_16</vt:lpstr>
      <vt:lpstr>'GMIC_2020-Annu_SCDPT4'!SCDPT4_9299999_17</vt:lpstr>
      <vt:lpstr>'GMIC_2020-Annu_SCDPT4'!SCDPT4_9299999_18</vt:lpstr>
      <vt:lpstr>'GMIC_2020-Annu_SCDPT4'!SCDPT4_9299999_19</vt:lpstr>
      <vt:lpstr>'GMIC_2020-Annu_SCDPT4'!SCDPT4_9299999_20</vt:lpstr>
      <vt:lpstr>'GMIC_2020-Annu_SCDPT4'!SCDPT4_9299999_7</vt:lpstr>
      <vt:lpstr>'GMIC_2020-Annu_SCDPT4'!SCDPT4_9299999_9</vt:lpstr>
      <vt:lpstr>'GMIC_2020-Annu_SCDPT4'!SCDPT4_92BEGIN_1</vt:lpstr>
      <vt:lpstr>'GMIC_2020-Annu_SCDPT4'!SCDPT4_92BEGIN_10</vt:lpstr>
      <vt:lpstr>'GMIC_2020-Annu_SCDPT4'!SCDPT4_92BEGIN_11</vt:lpstr>
      <vt:lpstr>'GMIC_2020-Annu_SCDPT4'!SCDPT4_92BEGIN_12</vt:lpstr>
      <vt:lpstr>'GMIC_2020-Annu_SCDPT4'!SCDPT4_92BEGIN_13</vt:lpstr>
      <vt:lpstr>'GMIC_2020-Annu_SCDPT4'!SCDPT4_92BEGIN_14</vt:lpstr>
      <vt:lpstr>'GMIC_2020-Annu_SCDPT4'!SCDPT4_92BEGIN_15</vt:lpstr>
      <vt:lpstr>'GMIC_2020-Annu_SCDPT4'!SCDPT4_92BEGIN_16</vt:lpstr>
      <vt:lpstr>'GMIC_2020-Annu_SCDPT4'!SCDPT4_92BEGIN_17</vt:lpstr>
      <vt:lpstr>'GMIC_2020-Annu_SCDPT4'!SCDPT4_92BEGIN_18</vt:lpstr>
      <vt:lpstr>'GMIC_2020-Annu_SCDPT4'!SCDPT4_92BEGIN_19</vt:lpstr>
      <vt:lpstr>'GMIC_2020-Annu_SCDPT4'!SCDPT4_92BEGIN_2</vt:lpstr>
      <vt:lpstr>'GMIC_2020-Annu_SCDPT4'!SCDPT4_92BEGIN_20</vt:lpstr>
      <vt:lpstr>'GMIC_2020-Annu_SCDPT4'!SCDPT4_92BEGIN_21</vt:lpstr>
      <vt:lpstr>'GMIC_2020-Annu_SCDPT4'!SCDPT4_92BEGIN_22</vt:lpstr>
      <vt:lpstr>'GMIC_2020-Annu_SCDPT4'!SCDPT4_92BEGIN_23</vt:lpstr>
      <vt:lpstr>'GMIC_2020-Annu_SCDPT4'!SCDPT4_92BEGIN_24</vt:lpstr>
      <vt:lpstr>'GMIC_2020-Annu_SCDPT4'!SCDPT4_92BEGIN_25</vt:lpstr>
      <vt:lpstr>'GMIC_2020-Annu_SCDPT4'!SCDPT4_92BEGIN_26</vt:lpstr>
      <vt:lpstr>'GMIC_2020-Annu_SCDPT4'!SCDPT4_92BEGIN_3</vt:lpstr>
      <vt:lpstr>'GMIC_2020-Annu_SCDPT4'!SCDPT4_92BEGIN_4</vt:lpstr>
      <vt:lpstr>'GMIC_2020-Annu_SCDPT4'!SCDPT4_92BEGIN_5</vt:lpstr>
      <vt:lpstr>'GMIC_2020-Annu_SCDPT4'!SCDPT4_92BEGIN_6</vt:lpstr>
      <vt:lpstr>'GMIC_2020-Annu_SCDPT4'!SCDPT4_92BEGIN_7</vt:lpstr>
      <vt:lpstr>'GMIC_2020-Annu_SCDPT4'!SCDPT4_92BEGIN_8</vt:lpstr>
      <vt:lpstr>'GMIC_2020-Annu_SCDPT4'!SCDPT4_92BEGIN_9</vt:lpstr>
      <vt:lpstr>'GMIC_2020-Annu_SCDPT4'!SCDPT4_92ENDIN_10</vt:lpstr>
      <vt:lpstr>'GMIC_2020-Annu_SCDPT4'!SCDPT4_92ENDIN_11</vt:lpstr>
      <vt:lpstr>'GMIC_2020-Annu_SCDPT4'!SCDPT4_92ENDIN_12</vt:lpstr>
      <vt:lpstr>'GMIC_2020-Annu_SCDPT4'!SCDPT4_92ENDIN_13</vt:lpstr>
      <vt:lpstr>'GMIC_2020-Annu_SCDPT4'!SCDPT4_92ENDIN_14</vt:lpstr>
      <vt:lpstr>'GMIC_2020-Annu_SCDPT4'!SCDPT4_92ENDIN_15</vt:lpstr>
      <vt:lpstr>'GMIC_2020-Annu_SCDPT4'!SCDPT4_92ENDIN_16</vt:lpstr>
      <vt:lpstr>'GMIC_2020-Annu_SCDPT4'!SCDPT4_92ENDIN_17</vt:lpstr>
      <vt:lpstr>'GMIC_2020-Annu_SCDPT4'!SCDPT4_92ENDIN_18</vt:lpstr>
      <vt:lpstr>'GMIC_2020-Annu_SCDPT4'!SCDPT4_92ENDIN_19</vt:lpstr>
      <vt:lpstr>'GMIC_2020-Annu_SCDPT4'!SCDPT4_92ENDIN_2</vt:lpstr>
      <vt:lpstr>'GMIC_2020-Annu_SCDPT4'!SCDPT4_92ENDIN_20</vt:lpstr>
      <vt:lpstr>'GMIC_2020-Annu_SCDPT4'!SCDPT4_92ENDIN_21</vt:lpstr>
      <vt:lpstr>'GMIC_2020-Annu_SCDPT4'!SCDPT4_92ENDIN_22</vt:lpstr>
      <vt:lpstr>'GMIC_2020-Annu_SCDPT4'!SCDPT4_92ENDIN_23</vt:lpstr>
      <vt:lpstr>'GMIC_2020-Annu_SCDPT4'!SCDPT4_92ENDIN_24</vt:lpstr>
      <vt:lpstr>'GMIC_2020-Annu_SCDPT4'!SCDPT4_92ENDIN_25</vt:lpstr>
      <vt:lpstr>'GMIC_2020-Annu_SCDPT4'!SCDPT4_92ENDIN_26</vt:lpstr>
      <vt:lpstr>'GMIC_2020-Annu_SCDPT4'!SCDPT4_92ENDIN_3</vt:lpstr>
      <vt:lpstr>'GMIC_2020-Annu_SCDPT4'!SCDPT4_92ENDIN_4</vt:lpstr>
      <vt:lpstr>'GMIC_2020-Annu_SCDPT4'!SCDPT4_92ENDIN_5</vt:lpstr>
      <vt:lpstr>'GMIC_2020-Annu_SCDPT4'!SCDPT4_92ENDIN_6</vt:lpstr>
      <vt:lpstr>'GMIC_2020-Annu_SCDPT4'!SCDPT4_92ENDIN_7</vt:lpstr>
      <vt:lpstr>'GMIC_2020-Annu_SCDPT4'!SCDPT4_92ENDIN_8</vt:lpstr>
      <vt:lpstr>'GMIC_2020-Annu_SCDPT4'!SCDPT4_92ENDIN_9</vt:lpstr>
      <vt:lpstr>'GMIC_2020-Annu_SCDPT4'!SCDPT4_9300000_Range</vt:lpstr>
      <vt:lpstr>'GMIC_2020-Annu_SCDPT4'!SCDPT4_9399999_10</vt:lpstr>
      <vt:lpstr>'GMIC_2020-Annu_SCDPT4'!SCDPT4_9399999_11</vt:lpstr>
      <vt:lpstr>'GMIC_2020-Annu_SCDPT4'!SCDPT4_9399999_12</vt:lpstr>
      <vt:lpstr>'GMIC_2020-Annu_SCDPT4'!SCDPT4_9399999_13</vt:lpstr>
      <vt:lpstr>'GMIC_2020-Annu_SCDPT4'!SCDPT4_9399999_14</vt:lpstr>
      <vt:lpstr>'GMIC_2020-Annu_SCDPT4'!SCDPT4_9399999_15</vt:lpstr>
      <vt:lpstr>'GMIC_2020-Annu_SCDPT4'!SCDPT4_9399999_16</vt:lpstr>
      <vt:lpstr>'GMIC_2020-Annu_SCDPT4'!SCDPT4_9399999_17</vt:lpstr>
      <vt:lpstr>'GMIC_2020-Annu_SCDPT4'!SCDPT4_9399999_18</vt:lpstr>
      <vt:lpstr>'GMIC_2020-Annu_SCDPT4'!SCDPT4_9399999_19</vt:lpstr>
      <vt:lpstr>'GMIC_2020-Annu_SCDPT4'!SCDPT4_9399999_20</vt:lpstr>
      <vt:lpstr>'GMIC_2020-Annu_SCDPT4'!SCDPT4_9399999_7</vt:lpstr>
      <vt:lpstr>'GMIC_2020-Annu_SCDPT4'!SCDPT4_9399999_9</vt:lpstr>
      <vt:lpstr>'GMIC_2020-Annu_SCDPT4'!SCDPT4_93BEGIN_1</vt:lpstr>
      <vt:lpstr>'GMIC_2020-Annu_SCDPT4'!SCDPT4_93BEGIN_10</vt:lpstr>
      <vt:lpstr>'GMIC_2020-Annu_SCDPT4'!SCDPT4_93BEGIN_11</vt:lpstr>
      <vt:lpstr>'GMIC_2020-Annu_SCDPT4'!SCDPT4_93BEGIN_12</vt:lpstr>
      <vt:lpstr>'GMIC_2020-Annu_SCDPT4'!SCDPT4_93BEGIN_13</vt:lpstr>
      <vt:lpstr>'GMIC_2020-Annu_SCDPT4'!SCDPT4_93BEGIN_14</vt:lpstr>
      <vt:lpstr>'GMIC_2020-Annu_SCDPT4'!SCDPT4_93BEGIN_15</vt:lpstr>
      <vt:lpstr>'GMIC_2020-Annu_SCDPT4'!SCDPT4_93BEGIN_16</vt:lpstr>
      <vt:lpstr>'GMIC_2020-Annu_SCDPT4'!SCDPT4_93BEGIN_17</vt:lpstr>
      <vt:lpstr>'GMIC_2020-Annu_SCDPT4'!SCDPT4_93BEGIN_18</vt:lpstr>
      <vt:lpstr>'GMIC_2020-Annu_SCDPT4'!SCDPT4_93BEGIN_19</vt:lpstr>
      <vt:lpstr>'GMIC_2020-Annu_SCDPT4'!SCDPT4_93BEGIN_2</vt:lpstr>
      <vt:lpstr>'GMIC_2020-Annu_SCDPT4'!SCDPT4_93BEGIN_20</vt:lpstr>
      <vt:lpstr>'GMIC_2020-Annu_SCDPT4'!SCDPT4_93BEGIN_21</vt:lpstr>
      <vt:lpstr>'GMIC_2020-Annu_SCDPT4'!SCDPT4_93BEGIN_22</vt:lpstr>
      <vt:lpstr>'GMIC_2020-Annu_SCDPT4'!SCDPT4_93BEGIN_23</vt:lpstr>
      <vt:lpstr>'GMIC_2020-Annu_SCDPT4'!SCDPT4_93BEGIN_24</vt:lpstr>
      <vt:lpstr>'GMIC_2020-Annu_SCDPT4'!SCDPT4_93BEGIN_25</vt:lpstr>
      <vt:lpstr>'GMIC_2020-Annu_SCDPT4'!SCDPT4_93BEGIN_26</vt:lpstr>
      <vt:lpstr>'GMIC_2020-Annu_SCDPT4'!SCDPT4_93BEGIN_3</vt:lpstr>
      <vt:lpstr>'GMIC_2020-Annu_SCDPT4'!SCDPT4_93BEGIN_4</vt:lpstr>
      <vt:lpstr>'GMIC_2020-Annu_SCDPT4'!SCDPT4_93BEGIN_5</vt:lpstr>
      <vt:lpstr>'GMIC_2020-Annu_SCDPT4'!SCDPT4_93BEGIN_6</vt:lpstr>
      <vt:lpstr>'GMIC_2020-Annu_SCDPT4'!SCDPT4_93BEGIN_7</vt:lpstr>
      <vt:lpstr>'GMIC_2020-Annu_SCDPT4'!SCDPT4_93BEGIN_8</vt:lpstr>
      <vt:lpstr>'GMIC_2020-Annu_SCDPT4'!SCDPT4_93BEGIN_9</vt:lpstr>
      <vt:lpstr>'GMIC_2020-Annu_SCDPT4'!SCDPT4_93ENDIN_10</vt:lpstr>
      <vt:lpstr>'GMIC_2020-Annu_SCDPT4'!SCDPT4_93ENDIN_11</vt:lpstr>
      <vt:lpstr>'GMIC_2020-Annu_SCDPT4'!SCDPT4_93ENDIN_12</vt:lpstr>
      <vt:lpstr>'GMIC_2020-Annu_SCDPT4'!SCDPT4_93ENDIN_13</vt:lpstr>
      <vt:lpstr>'GMIC_2020-Annu_SCDPT4'!SCDPT4_93ENDIN_14</vt:lpstr>
      <vt:lpstr>'GMIC_2020-Annu_SCDPT4'!SCDPT4_93ENDIN_15</vt:lpstr>
      <vt:lpstr>'GMIC_2020-Annu_SCDPT4'!SCDPT4_93ENDIN_16</vt:lpstr>
      <vt:lpstr>'GMIC_2020-Annu_SCDPT4'!SCDPT4_93ENDIN_17</vt:lpstr>
      <vt:lpstr>'GMIC_2020-Annu_SCDPT4'!SCDPT4_93ENDIN_18</vt:lpstr>
      <vt:lpstr>'GMIC_2020-Annu_SCDPT4'!SCDPT4_93ENDIN_19</vt:lpstr>
      <vt:lpstr>'GMIC_2020-Annu_SCDPT4'!SCDPT4_93ENDIN_2</vt:lpstr>
      <vt:lpstr>'GMIC_2020-Annu_SCDPT4'!SCDPT4_93ENDIN_20</vt:lpstr>
      <vt:lpstr>'GMIC_2020-Annu_SCDPT4'!SCDPT4_93ENDIN_21</vt:lpstr>
      <vt:lpstr>'GMIC_2020-Annu_SCDPT4'!SCDPT4_93ENDIN_22</vt:lpstr>
      <vt:lpstr>'GMIC_2020-Annu_SCDPT4'!SCDPT4_93ENDIN_23</vt:lpstr>
      <vt:lpstr>'GMIC_2020-Annu_SCDPT4'!SCDPT4_93ENDIN_24</vt:lpstr>
      <vt:lpstr>'GMIC_2020-Annu_SCDPT4'!SCDPT4_93ENDIN_25</vt:lpstr>
      <vt:lpstr>'GMIC_2020-Annu_SCDPT4'!SCDPT4_93ENDIN_26</vt:lpstr>
      <vt:lpstr>'GMIC_2020-Annu_SCDPT4'!SCDPT4_93ENDIN_3</vt:lpstr>
      <vt:lpstr>'GMIC_2020-Annu_SCDPT4'!SCDPT4_93ENDIN_4</vt:lpstr>
      <vt:lpstr>'GMIC_2020-Annu_SCDPT4'!SCDPT4_93ENDIN_5</vt:lpstr>
      <vt:lpstr>'GMIC_2020-Annu_SCDPT4'!SCDPT4_93ENDIN_6</vt:lpstr>
      <vt:lpstr>'GMIC_2020-Annu_SCDPT4'!SCDPT4_93ENDIN_7</vt:lpstr>
      <vt:lpstr>'GMIC_2020-Annu_SCDPT4'!SCDPT4_93ENDIN_8</vt:lpstr>
      <vt:lpstr>'GMIC_2020-Annu_SCDPT4'!SCDPT4_93ENDIN_9</vt:lpstr>
      <vt:lpstr>'GMIC_2020-Annu_SCDPT4'!SCDPT4_9400000_Range</vt:lpstr>
      <vt:lpstr>'GMIC_2020-Annu_SCDPT4'!SCDPT4_9499999_10</vt:lpstr>
      <vt:lpstr>'GMIC_2020-Annu_SCDPT4'!SCDPT4_9499999_11</vt:lpstr>
      <vt:lpstr>'GMIC_2020-Annu_SCDPT4'!SCDPT4_9499999_12</vt:lpstr>
      <vt:lpstr>'GMIC_2020-Annu_SCDPT4'!SCDPT4_9499999_13</vt:lpstr>
      <vt:lpstr>'GMIC_2020-Annu_SCDPT4'!SCDPT4_9499999_14</vt:lpstr>
      <vt:lpstr>'GMIC_2020-Annu_SCDPT4'!SCDPT4_9499999_15</vt:lpstr>
      <vt:lpstr>'GMIC_2020-Annu_SCDPT4'!SCDPT4_9499999_16</vt:lpstr>
      <vt:lpstr>'GMIC_2020-Annu_SCDPT4'!SCDPT4_9499999_17</vt:lpstr>
      <vt:lpstr>'GMIC_2020-Annu_SCDPT4'!SCDPT4_9499999_18</vt:lpstr>
      <vt:lpstr>'GMIC_2020-Annu_SCDPT4'!SCDPT4_9499999_19</vt:lpstr>
      <vt:lpstr>'GMIC_2020-Annu_SCDPT4'!SCDPT4_9499999_20</vt:lpstr>
      <vt:lpstr>'GMIC_2020-Annu_SCDPT4'!SCDPT4_9499999_7</vt:lpstr>
      <vt:lpstr>'GMIC_2020-Annu_SCDPT4'!SCDPT4_9499999_9</vt:lpstr>
      <vt:lpstr>'GMIC_2020-Annu_SCDPT4'!SCDPT4_94BEGIN_1</vt:lpstr>
      <vt:lpstr>'GMIC_2020-Annu_SCDPT4'!SCDPT4_94BEGIN_10</vt:lpstr>
      <vt:lpstr>'GMIC_2020-Annu_SCDPT4'!SCDPT4_94BEGIN_11</vt:lpstr>
      <vt:lpstr>'GMIC_2020-Annu_SCDPT4'!SCDPT4_94BEGIN_12</vt:lpstr>
      <vt:lpstr>'GMIC_2020-Annu_SCDPT4'!SCDPT4_94BEGIN_13</vt:lpstr>
      <vt:lpstr>'GMIC_2020-Annu_SCDPT4'!SCDPT4_94BEGIN_14</vt:lpstr>
      <vt:lpstr>'GMIC_2020-Annu_SCDPT4'!SCDPT4_94BEGIN_15</vt:lpstr>
      <vt:lpstr>'GMIC_2020-Annu_SCDPT4'!SCDPT4_94BEGIN_16</vt:lpstr>
      <vt:lpstr>'GMIC_2020-Annu_SCDPT4'!SCDPT4_94BEGIN_17</vt:lpstr>
      <vt:lpstr>'GMIC_2020-Annu_SCDPT4'!SCDPT4_94BEGIN_18</vt:lpstr>
      <vt:lpstr>'GMIC_2020-Annu_SCDPT4'!SCDPT4_94BEGIN_19</vt:lpstr>
      <vt:lpstr>'GMIC_2020-Annu_SCDPT4'!SCDPT4_94BEGIN_2</vt:lpstr>
      <vt:lpstr>'GMIC_2020-Annu_SCDPT4'!SCDPT4_94BEGIN_20</vt:lpstr>
      <vt:lpstr>'GMIC_2020-Annu_SCDPT4'!SCDPT4_94BEGIN_21</vt:lpstr>
      <vt:lpstr>'GMIC_2020-Annu_SCDPT4'!SCDPT4_94BEGIN_22</vt:lpstr>
      <vt:lpstr>'GMIC_2020-Annu_SCDPT4'!SCDPT4_94BEGIN_23</vt:lpstr>
      <vt:lpstr>'GMIC_2020-Annu_SCDPT4'!SCDPT4_94BEGIN_24</vt:lpstr>
      <vt:lpstr>'GMIC_2020-Annu_SCDPT4'!SCDPT4_94BEGIN_25</vt:lpstr>
      <vt:lpstr>'GMIC_2020-Annu_SCDPT4'!SCDPT4_94BEGIN_26</vt:lpstr>
      <vt:lpstr>'GMIC_2020-Annu_SCDPT4'!SCDPT4_94BEGIN_3</vt:lpstr>
      <vt:lpstr>'GMIC_2020-Annu_SCDPT4'!SCDPT4_94BEGIN_4</vt:lpstr>
      <vt:lpstr>'GMIC_2020-Annu_SCDPT4'!SCDPT4_94BEGIN_5</vt:lpstr>
      <vt:lpstr>'GMIC_2020-Annu_SCDPT4'!SCDPT4_94BEGIN_6</vt:lpstr>
      <vt:lpstr>'GMIC_2020-Annu_SCDPT4'!SCDPT4_94BEGIN_7</vt:lpstr>
      <vt:lpstr>'GMIC_2020-Annu_SCDPT4'!SCDPT4_94BEGIN_8</vt:lpstr>
      <vt:lpstr>'GMIC_2020-Annu_SCDPT4'!SCDPT4_94BEGIN_9</vt:lpstr>
      <vt:lpstr>'GMIC_2020-Annu_SCDPT4'!SCDPT4_94ENDIN_10</vt:lpstr>
      <vt:lpstr>'GMIC_2020-Annu_SCDPT4'!SCDPT4_94ENDIN_11</vt:lpstr>
      <vt:lpstr>'GMIC_2020-Annu_SCDPT4'!SCDPT4_94ENDIN_12</vt:lpstr>
      <vt:lpstr>'GMIC_2020-Annu_SCDPT4'!SCDPT4_94ENDIN_13</vt:lpstr>
      <vt:lpstr>'GMIC_2020-Annu_SCDPT4'!SCDPT4_94ENDIN_14</vt:lpstr>
      <vt:lpstr>'GMIC_2020-Annu_SCDPT4'!SCDPT4_94ENDIN_15</vt:lpstr>
      <vt:lpstr>'GMIC_2020-Annu_SCDPT4'!SCDPT4_94ENDIN_16</vt:lpstr>
      <vt:lpstr>'GMIC_2020-Annu_SCDPT4'!SCDPT4_94ENDIN_17</vt:lpstr>
      <vt:lpstr>'GMIC_2020-Annu_SCDPT4'!SCDPT4_94ENDIN_18</vt:lpstr>
      <vt:lpstr>'GMIC_2020-Annu_SCDPT4'!SCDPT4_94ENDIN_19</vt:lpstr>
      <vt:lpstr>'GMIC_2020-Annu_SCDPT4'!SCDPT4_94ENDIN_2</vt:lpstr>
      <vt:lpstr>'GMIC_2020-Annu_SCDPT4'!SCDPT4_94ENDIN_20</vt:lpstr>
      <vt:lpstr>'GMIC_2020-Annu_SCDPT4'!SCDPT4_94ENDIN_21</vt:lpstr>
      <vt:lpstr>'GMIC_2020-Annu_SCDPT4'!SCDPT4_94ENDIN_22</vt:lpstr>
      <vt:lpstr>'GMIC_2020-Annu_SCDPT4'!SCDPT4_94ENDIN_23</vt:lpstr>
      <vt:lpstr>'GMIC_2020-Annu_SCDPT4'!SCDPT4_94ENDIN_24</vt:lpstr>
      <vt:lpstr>'GMIC_2020-Annu_SCDPT4'!SCDPT4_94ENDIN_25</vt:lpstr>
      <vt:lpstr>'GMIC_2020-Annu_SCDPT4'!SCDPT4_94ENDIN_26</vt:lpstr>
      <vt:lpstr>'GMIC_2020-Annu_SCDPT4'!SCDPT4_94ENDIN_3</vt:lpstr>
      <vt:lpstr>'GMIC_2020-Annu_SCDPT4'!SCDPT4_94ENDIN_4</vt:lpstr>
      <vt:lpstr>'GMIC_2020-Annu_SCDPT4'!SCDPT4_94ENDIN_5</vt:lpstr>
      <vt:lpstr>'GMIC_2020-Annu_SCDPT4'!SCDPT4_94ENDIN_6</vt:lpstr>
      <vt:lpstr>'GMIC_2020-Annu_SCDPT4'!SCDPT4_94ENDIN_7</vt:lpstr>
      <vt:lpstr>'GMIC_2020-Annu_SCDPT4'!SCDPT4_94ENDIN_8</vt:lpstr>
      <vt:lpstr>'GMIC_2020-Annu_SCDPT4'!SCDPT4_94ENDIN_9</vt:lpstr>
      <vt:lpstr>'GMIC_2020-Annu_SCDPT4'!SCDPT4_9500000_Range</vt:lpstr>
      <vt:lpstr>'GMIC_2020-Annu_SCDPT4'!SCDPT4_9599999_10</vt:lpstr>
      <vt:lpstr>'GMIC_2020-Annu_SCDPT4'!SCDPT4_9599999_11</vt:lpstr>
      <vt:lpstr>'GMIC_2020-Annu_SCDPT4'!SCDPT4_9599999_12</vt:lpstr>
      <vt:lpstr>'GMIC_2020-Annu_SCDPT4'!SCDPT4_9599999_13</vt:lpstr>
      <vt:lpstr>'GMIC_2020-Annu_SCDPT4'!SCDPT4_9599999_14</vt:lpstr>
      <vt:lpstr>'GMIC_2020-Annu_SCDPT4'!SCDPT4_9599999_15</vt:lpstr>
      <vt:lpstr>'GMIC_2020-Annu_SCDPT4'!SCDPT4_9599999_16</vt:lpstr>
      <vt:lpstr>'GMIC_2020-Annu_SCDPT4'!SCDPT4_9599999_17</vt:lpstr>
      <vt:lpstr>'GMIC_2020-Annu_SCDPT4'!SCDPT4_9599999_18</vt:lpstr>
      <vt:lpstr>'GMIC_2020-Annu_SCDPT4'!SCDPT4_9599999_19</vt:lpstr>
      <vt:lpstr>'GMIC_2020-Annu_SCDPT4'!SCDPT4_9599999_20</vt:lpstr>
      <vt:lpstr>'GMIC_2020-Annu_SCDPT4'!SCDPT4_9599999_7</vt:lpstr>
      <vt:lpstr>'GMIC_2020-Annu_SCDPT4'!SCDPT4_9599999_9</vt:lpstr>
      <vt:lpstr>'GMIC_2020-Annu_SCDPT4'!SCDPT4_95BEGIN_1</vt:lpstr>
      <vt:lpstr>'GMIC_2020-Annu_SCDPT4'!SCDPT4_95BEGIN_10</vt:lpstr>
      <vt:lpstr>'GMIC_2020-Annu_SCDPT4'!SCDPT4_95BEGIN_11</vt:lpstr>
      <vt:lpstr>'GMIC_2020-Annu_SCDPT4'!SCDPT4_95BEGIN_12</vt:lpstr>
      <vt:lpstr>'GMIC_2020-Annu_SCDPT4'!SCDPT4_95BEGIN_13</vt:lpstr>
      <vt:lpstr>'GMIC_2020-Annu_SCDPT4'!SCDPT4_95BEGIN_14</vt:lpstr>
      <vt:lpstr>'GMIC_2020-Annu_SCDPT4'!SCDPT4_95BEGIN_15</vt:lpstr>
      <vt:lpstr>'GMIC_2020-Annu_SCDPT4'!SCDPT4_95BEGIN_16</vt:lpstr>
      <vt:lpstr>'GMIC_2020-Annu_SCDPT4'!SCDPT4_95BEGIN_17</vt:lpstr>
      <vt:lpstr>'GMIC_2020-Annu_SCDPT4'!SCDPT4_95BEGIN_18</vt:lpstr>
      <vt:lpstr>'GMIC_2020-Annu_SCDPT4'!SCDPT4_95BEGIN_19</vt:lpstr>
      <vt:lpstr>'GMIC_2020-Annu_SCDPT4'!SCDPT4_95BEGIN_2</vt:lpstr>
      <vt:lpstr>'GMIC_2020-Annu_SCDPT4'!SCDPT4_95BEGIN_20</vt:lpstr>
      <vt:lpstr>'GMIC_2020-Annu_SCDPT4'!SCDPT4_95BEGIN_21</vt:lpstr>
      <vt:lpstr>'GMIC_2020-Annu_SCDPT4'!SCDPT4_95BEGIN_22</vt:lpstr>
      <vt:lpstr>'GMIC_2020-Annu_SCDPT4'!SCDPT4_95BEGIN_23</vt:lpstr>
      <vt:lpstr>'GMIC_2020-Annu_SCDPT4'!SCDPT4_95BEGIN_24</vt:lpstr>
      <vt:lpstr>'GMIC_2020-Annu_SCDPT4'!SCDPT4_95BEGIN_25</vt:lpstr>
      <vt:lpstr>'GMIC_2020-Annu_SCDPT4'!SCDPT4_95BEGIN_26</vt:lpstr>
      <vt:lpstr>'GMIC_2020-Annu_SCDPT4'!SCDPT4_95BEGIN_3</vt:lpstr>
      <vt:lpstr>'GMIC_2020-Annu_SCDPT4'!SCDPT4_95BEGIN_4</vt:lpstr>
      <vt:lpstr>'GMIC_2020-Annu_SCDPT4'!SCDPT4_95BEGIN_5</vt:lpstr>
      <vt:lpstr>'GMIC_2020-Annu_SCDPT4'!SCDPT4_95BEGIN_6</vt:lpstr>
      <vt:lpstr>'GMIC_2020-Annu_SCDPT4'!SCDPT4_95BEGIN_7</vt:lpstr>
      <vt:lpstr>'GMIC_2020-Annu_SCDPT4'!SCDPT4_95BEGIN_8</vt:lpstr>
      <vt:lpstr>'GMIC_2020-Annu_SCDPT4'!SCDPT4_95BEGIN_9</vt:lpstr>
      <vt:lpstr>'GMIC_2020-Annu_SCDPT4'!SCDPT4_95ENDIN_10</vt:lpstr>
      <vt:lpstr>'GMIC_2020-Annu_SCDPT4'!SCDPT4_95ENDIN_11</vt:lpstr>
      <vt:lpstr>'GMIC_2020-Annu_SCDPT4'!SCDPT4_95ENDIN_12</vt:lpstr>
      <vt:lpstr>'GMIC_2020-Annu_SCDPT4'!SCDPT4_95ENDIN_13</vt:lpstr>
      <vt:lpstr>'GMIC_2020-Annu_SCDPT4'!SCDPT4_95ENDIN_14</vt:lpstr>
      <vt:lpstr>'GMIC_2020-Annu_SCDPT4'!SCDPT4_95ENDIN_15</vt:lpstr>
      <vt:lpstr>'GMIC_2020-Annu_SCDPT4'!SCDPT4_95ENDIN_16</vt:lpstr>
      <vt:lpstr>'GMIC_2020-Annu_SCDPT4'!SCDPT4_95ENDIN_17</vt:lpstr>
      <vt:lpstr>'GMIC_2020-Annu_SCDPT4'!SCDPT4_95ENDIN_18</vt:lpstr>
      <vt:lpstr>'GMIC_2020-Annu_SCDPT4'!SCDPT4_95ENDIN_19</vt:lpstr>
      <vt:lpstr>'GMIC_2020-Annu_SCDPT4'!SCDPT4_95ENDIN_2</vt:lpstr>
      <vt:lpstr>'GMIC_2020-Annu_SCDPT4'!SCDPT4_95ENDIN_20</vt:lpstr>
      <vt:lpstr>'GMIC_2020-Annu_SCDPT4'!SCDPT4_95ENDIN_21</vt:lpstr>
      <vt:lpstr>'GMIC_2020-Annu_SCDPT4'!SCDPT4_95ENDIN_22</vt:lpstr>
      <vt:lpstr>'GMIC_2020-Annu_SCDPT4'!SCDPT4_95ENDIN_23</vt:lpstr>
      <vt:lpstr>'GMIC_2020-Annu_SCDPT4'!SCDPT4_95ENDIN_24</vt:lpstr>
      <vt:lpstr>'GMIC_2020-Annu_SCDPT4'!SCDPT4_95ENDIN_25</vt:lpstr>
      <vt:lpstr>'GMIC_2020-Annu_SCDPT4'!SCDPT4_95ENDIN_26</vt:lpstr>
      <vt:lpstr>'GMIC_2020-Annu_SCDPT4'!SCDPT4_95ENDIN_3</vt:lpstr>
      <vt:lpstr>'GMIC_2020-Annu_SCDPT4'!SCDPT4_95ENDIN_4</vt:lpstr>
      <vt:lpstr>'GMIC_2020-Annu_SCDPT4'!SCDPT4_95ENDIN_5</vt:lpstr>
      <vt:lpstr>'GMIC_2020-Annu_SCDPT4'!SCDPT4_95ENDIN_6</vt:lpstr>
      <vt:lpstr>'GMIC_2020-Annu_SCDPT4'!SCDPT4_95ENDIN_7</vt:lpstr>
      <vt:lpstr>'GMIC_2020-Annu_SCDPT4'!SCDPT4_95ENDIN_8</vt:lpstr>
      <vt:lpstr>'GMIC_2020-Annu_SCDPT4'!SCDPT4_95ENDIN_9</vt:lpstr>
      <vt:lpstr>'GMIC_2020-Annu_SCDPT4'!SCDPT4_9600000_Range</vt:lpstr>
      <vt:lpstr>'GMIC_2020-Annu_SCDPT4'!SCDPT4_9699999_10</vt:lpstr>
      <vt:lpstr>'GMIC_2020-Annu_SCDPT4'!SCDPT4_9699999_11</vt:lpstr>
      <vt:lpstr>'GMIC_2020-Annu_SCDPT4'!SCDPT4_9699999_12</vt:lpstr>
      <vt:lpstr>'GMIC_2020-Annu_SCDPT4'!SCDPT4_9699999_13</vt:lpstr>
      <vt:lpstr>'GMIC_2020-Annu_SCDPT4'!SCDPT4_9699999_14</vt:lpstr>
      <vt:lpstr>'GMIC_2020-Annu_SCDPT4'!SCDPT4_9699999_15</vt:lpstr>
      <vt:lpstr>'GMIC_2020-Annu_SCDPT4'!SCDPT4_9699999_16</vt:lpstr>
      <vt:lpstr>'GMIC_2020-Annu_SCDPT4'!SCDPT4_9699999_17</vt:lpstr>
      <vt:lpstr>'GMIC_2020-Annu_SCDPT4'!SCDPT4_9699999_18</vt:lpstr>
      <vt:lpstr>'GMIC_2020-Annu_SCDPT4'!SCDPT4_9699999_19</vt:lpstr>
      <vt:lpstr>'GMIC_2020-Annu_SCDPT4'!SCDPT4_9699999_20</vt:lpstr>
      <vt:lpstr>'GMIC_2020-Annu_SCDPT4'!SCDPT4_9699999_7</vt:lpstr>
      <vt:lpstr>'GMIC_2020-Annu_SCDPT4'!SCDPT4_9699999_9</vt:lpstr>
      <vt:lpstr>'GMIC_2020-Annu_SCDPT4'!SCDPT4_96BEGIN_1</vt:lpstr>
      <vt:lpstr>'GMIC_2020-Annu_SCDPT4'!SCDPT4_96BEGIN_10</vt:lpstr>
      <vt:lpstr>'GMIC_2020-Annu_SCDPT4'!SCDPT4_96BEGIN_11</vt:lpstr>
      <vt:lpstr>'GMIC_2020-Annu_SCDPT4'!SCDPT4_96BEGIN_12</vt:lpstr>
      <vt:lpstr>'GMIC_2020-Annu_SCDPT4'!SCDPT4_96BEGIN_13</vt:lpstr>
      <vt:lpstr>'GMIC_2020-Annu_SCDPT4'!SCDPT4_96BEGIN_14</vt:lpstr>
      <vt:lpstr>'GMIC_2020-Annu_SCDPT4'!SCDPT4_96BEGIN_15</vt:lpstr>
      <vt:lpstr>'GMIC_2020-Annu_SCDPT4'!SCDPT4_96BEGIN_16</vt:lpstr>
      <vt:lpstr>'GMIC_2020-Annu_SCDPT4'!SCDPT4_96BEGIN_17</vt:lpstr>
      <vt:lpstr>'GMIC_2020-Annu_SCDPT4'!SCDPT4_96BEGIN_18</vt:lpstr>
      <vt:lpstr>'GMIC_2020-Annu_SCDPT4'!SCDPT4_96BEGIN_19</vt:lpstr>
      <vt:lpstr>'GMIC_2020-Annu_SCDPT4'!SCDPT4_96BEGIN_2</vt:lpstr>
      <vt:lpstr>'GMIC_2020-Annu_SCDPT4'!SCDPT4_96BEGIN_20</vt:lpstr>
      <vt:lpstr>'GMIC_2020-Annu_SCDPT4'!SCDPT4_96BEGIN_21</vt:lpstr>
      <vt:lpstr>'GMIC_2020-Annu_SCDPT4'!SCDPT4_96BEGIN_22</vt:lpstr>
      <vt:lpstr>'GMIC_2020-Annu_SCDPT4'!SCDPT4_96BEGIN_23</vt:lpstr>
      <vt:lpstr>'GMIC_2020-Annu_SCDPT4'!SCDPT4_96BEGIN_24</vt:lpstr>
      <vt:lpstr>'GMIC_2020-Annu_SCDPT4'!SCDPT4_96BEGIN_25</vt:lpstr>
      <vt:lpstr>'GMIC_2020-Annu_SCDPT4'!SCDPT4_96BEGIN_26</vt:lpstr>
      <vt:lpstr>'GMIC_2020-Annu_SCDPT4'!SCDPT4_96BEGIN_3</vt:lpstr>
      <vt:lpstr>'GMIC_2020-Annu_SCDPT4'!SCDPT4_96BEGIN_4</vt:lpstr>
      <vt:lpstr>'GMIC_2020-Annu_SCDPT4'!SCDPT4_96BEGIN_5</vt:lpstr>
      <vt:lpstr>'GMIC_2020-Annu_SCDPT4'!SCDPT4_96BEGIN_6</vt:lpstr>
      <vt:lpstr>'GMIC_2020-Annu_SCDPT4'!SCDPT4_96BEGIN_7</vt:lpstr>
      <vt:lpstr>'GMIC_2020-Annu_SCDPT4'!SCDPT4_96BEGIN_8</vt:lpstr>
      <vt:lpstr>'GMIC_2020-Annu_SCDPT4'!SCDPT4_96BEGIN_9</vt:lpstr>
      <vt:lpstr>'GMIC_2020-Annu_SCDPT4'!SCDPT4_96ENDIN_10</vt:lpstr>
      <vt:lpstr>'GMIC_2020-Annu_SCDPT4'!SCDPT4_96ENDIN_11</vt:lpstr>
      <vt:lpstr>'GMIC_2020-Annu_SCDPT4'!SCDPT4_96ENDIN_12</vt:lpstr>
      <vt:lpstr>'GMIC_2020-Annu_SCDPT4'!SCDPT4_96ENDIN_13</vt:lpstr>
      <vt:lpstr>'GMIC_2020-Annu_SCDPT4'!SCDPT4_96ENDIN_14</vt:lpstr>
      <vt:lpstr>'GMIC_2020-Annu_SCDPT4'!SCDPT4_96ENDIN_15</vt:lpstr>
      <vt:lpstr>'GMIC_2020-Annu_SCDPT4'!SCDPT4_96ENDIN_16</vt:lpstr>
      <vt:lpstr>'GMIC_2020-Annu_SCDPT4'!SCDPT4_96ENDIN_17</vt:lpstr>
      <vt:lpstr>'GMIC_2020-Annu_SCDPT4'!SCDPT4_96ENDIN_18</vt:lpstr>
      <vt:lpstr>'GMIC_2020-Annu_SCDPT4'!SCDPT4_96ENDIN_19</vt:lpstr>
      <vt:lpstr>'GMIC_2020-Annu_SCDPT4'!SCDPT4_96ENDIN_2</vt:lpstr>
      <vt:lpstr>'GMIC_2020-Annu_SCDPT4'!SCDPT4_96ENDIN_20</vt:lpstr>
      <vt:lpstr>'GMIC_2020-Annu_SCDPT4'!SCDPT4_96ENDIN_21</vt:lpstr>
      <vt:lpstr>'GMIC_2020-Annu_SCDPT4'!SCDPT4_96ENDIN_22</vt:lpstr>
      <vt:lpstr>'GMIC_2020-Annu_SCDPT4'!SCDPT4_96ENDIN_23</vt:lpstr>
      <vt:lpstr>'GMIC_2020-Annu_SCDPT4'!SCDPT4_96ENDIN_24</vt:lpstr>
      <vt:lpstr>'GMIC_2020-Annu_SCDPT4'!SCDPT4_96ENDIN_25</vt:lpstr>
      <vt:lpstr>'GMIC_2020-Annu_SCDPT4'!SCDPT4_96ENDIN_26</vt:lpstr>
      <vt:lpstr>'GMIC_2020-Annu_SCDPT4'!SCDPT4_96ENDIN_3</vt:lpstr>
      <vt:lpstr>'GMIC_2020-Annu_SCDPT4'!SCDPT4_96ENDIN_4</vt:lpstr>
      <vt:lpstr>'GMIC_2020-Annu_SCDPT4'!SCDPT4_96ENDIN_5</vt:lpstr>
      <vt:lpstr>'GMIC_2020-Annu_SCDPT4'!SCDPT4_96ENDIN_6</vt:lpstr>
      <vt:lpstr>'GMIC_2020-Annu_SCDPT4'!SCDPT4_96ENDIN_7</vt:lpstr>
      <vt:lpstr>'GMIC_2020-Annu_SCDPT4'!SCDPT4_96ENDIN_8</vt:lpstr>
      <vt:lpstr>'GMIC_2020-Annu_SCDPT4'!SCDPT4_96ENDIN_9</vt:lpstr>
      <vt:lpstr>'GMIC_2020-Annu_SCDPT4'!SCDPT4_9799997_10</vt:lpstr>
      <vt:lpstr>'GMIC_2020-Annu_SCDPT4'!SCDPT4_9799997_11</vt:lpstr>
      <vt:lpstr>'GMIC_2020-Annu_SCDPT4'!SCDPT4_9799997_12</vt:lpstr>
      <vt:lpstr>'GMIC_2020-Annu_SCDPT4'!SCDPT4_9799997_13</vt:lpstr>
      <vt:lpstr>'GMIC_2020-Annu_SCDPT4'!SCDPT4_9799997_14</vt:lpstr>
      <vt:lpstr>'GMIC_2020-Annu_SCDPT4'!SCDPT4_9799997_15</vt:lpstr>
      <vt:lpstr>'GMIC_2020-Annu_SCDPT4'!SCDPT4_9799997_16</vt:lpstr>
      <vt:lpstr>'GMIC_2020-Annu_SCDPT4'!SCDPT4_9799997_17</vt:lpstr>
      <vt:lpstr>'GMIC_2020-Annu_SCDPT4'!SCDPT4_9799997_18</vt:lpstr>
      <vt:lpstr>'GMIC_2020-Annu_SCDPT4'!SCDPT4_9799997_19</vt:lpstr>
      <vt:lpstr>'GMIC_2020-Annu_SCDPT4'!SCDPT4_9799997_20</vt:lpstr>
      <vt:lpstr>'GMIC_2020-Annu_SCDPT4'!SCDPT4_9799997_7</vt:lpstr>
      <vt:lpstr>'GMIC_2020-Annu_SCDPT4'!SCDPT4_9799997_9</vt:lpstr>
      <vt:lpstr>'GMIC_2020-Annu_SCDPT4'!SCDPT4_9799998_10</vt:lpstr>
      <vt:lpstr>'GMIC_2020-Annu_SCDPT4'!SCDPT4_9799998_11</vt:lpstr>
      <vt:lpstr>'GMIC_2020-Annu_SCDPT4'!SCDPT4_9799998_12</vt:lpstr>
      <vt:lpstr>'GMIC_2020-Annu_SCDPT4'!SCDPT4_9799998_13</vt:lpstr>
      <vt:lpstr>'GMIC_2020-Annu_SCDPT4'!SCDPT4_9799998_14</vt:lpstr>
      <vt:lpstr>'GMIC_2020-Annu_SCDPT4'!SCDPT4_9799998_15</vt:lpstr>
      <vt:lpstr>'GMIC_2020-Annu_SCDPT4'!SCDPT4_9799998_16</vt:lpstr>
      <vt:lpstr>'GMIC_2020-Annu_SCDPT4'!SCDPT4_9799998_17</vt:lpstr>
      <vt:lpstr>'GMIC_2020-Annu_SCDPT4'!SCDPT4_9799998_18</vt:lpstr>
      <vt:lpstr>'GMIC_2020-Annu_SCDPT4'!SCDPT4_9799998_19</vt:lpstr>
      <vt:lpstr>'GMIC_2020-Annu_SCDPT4'!SCDPT4_9799998_20</vt:lpstr>
      <vt:lpstr>'GMIC_2020-Annu_SCDPT4'!SCDPT4_9799998_7</vt:lpstr>
      <vt:lpstr>'GMIC_2020-Annu_SCDPT4'!SCDPT4_9799998_9</vt:lpstr>
      <vt:lpstr>'GMIC_2020-Annu_SCDPT4'!SCDPT4_9799999_10</vt:lpstr>
      <vt:lpstr>'GMIC_2020-Annu_SCDPT4'!SCDPT4_9799999_11</vt:lpstr>
      <vt:lpstr>'GMIC_2020-Annu_SCDPT4'!SCDPT4_9799999_12</vt:lpstr>
      <vt:lpstr>'GMIC_2020-Annu_SCDPT4'!SCDPT4_9799999_13</vt:lpstr>
      <vt:lpstr>'GMIC_2020-Annu_SCDPT4'!SCDPT4_9799999_14</vt:lpstr>
      <vt:lpstr>'GMIC_2020-Annu_SCDPT4'!SCDPT4_9799999_15</vt:lpstr>
      <vt:lpstr>'GMIC_2020-Annu_SCDPT4'!SCDPT4_9799999_16</vt:lpstr>
      <vt:lpstr>'GMIC_2020-Annu_SCDPT4'!SCDPT4_9799999_17</vt:lpstr>
      <vt:lpstr>'GMIC_2020-Annu_SCDPT4'!SCDPT4_9799999_18</vt:lpstr>
      <vt:lpstr>'GMIC_2020-Annu_SCDPT4'!SCDPT4_9799999_19</vt:lpstr>
      <vt:lpstr>'GMIC_2020-Annu_SCDPT4'!SCDPT4_9799999_20</vt:lpstr>
      <vt:lpstr>'GMIC_2020-Annu_SCDPT4'!SCDPT4_9799999_7</vt:lpstr>
      <vt:lpstr>'GMIC_2020-Annu_SCDPT4'!SCDPT4_9799999_9</vt:lpstr>
      <vt:lpstr>'GMIC_2020-Annu_SCDPT4'!SCDPT4_9899999_10</vt:lpstr>
      <vt:lpstr>'GMIC_2020-Annu_SCDPT4'!SCDPT4_9899999_11</vt:lpstr>
      <vt:lpstr>'GMIC_2020-Annu_SCDPT4'!SCDPT4_9899999_12</vt:lpstr>
      <vt:lpstr>'GMIC_2020-Annu_SCDPT4'!SCDPT4_9899999_13</vt:lpstr>
      <vt:lpstr>'GMIC_2020-Annu_SCDPT4'!SCDPT4_9899999_14</vt:lpstr>
      <vt:lpstr>'GMIC_2020-Annu_SCDPT4'!SCDPT4_9899999_15</vt:lpstr>
      <vt:lpstr>'GMIC_2020-Annu_SCDPT4'!SCDPT4_9899999_16</vt:lpstr>
      <vt:lpstr>'GMIC_2020-Annu_SCDPT4'!SCDPT4_9899999_17</vt:lpstr>
      <vt:lpstr>'GMIC_2020-Annu_SCDPT4'!SCDPT4_9899999_18</vt:lpstr>
      <vt:lpstr>'GMIC_2020-Annu_SCDPT4'!SCDPT4_9899999_19</vt:lpstr>
      <vt:lpstr>'GMIC_2020-Annu_SCDPT4'!SCDPT4_9899999_20</vt:lpstr>
      <vt:lpstr>'GMIC_2020-Annu_SCDPT4'!SCDPT4_9899999_7</vt:lpstr>
      <vt:lpstr>'GMIC_2020-Annu_SCDPT4'!SCDPT4_9899999_9</vt:lpstr>
      <vt:lpstr>'GMIC_2020-Annu_SCDPT4'!SCDPT4_9999999_10</vt:lpstr>
      <vt:lpstr>'GMIC_2020-Annu_SCDPT4'!SCDPT4_9999999_11</vt:lpstr>
      <vt:lpstr>'GMIC_2020-Annu_SCDPT4'!SCDPT4_9999999_12</vt:lpstr>
      <vt:lpstr>'GMIC_2020-Annu_SCDPT4'!SCDPT4_9999999_13</vt:lpstr>
      <vt:lpstr>'GMIC_2020-Annu_SCDPT4'!SCDPT4_9999999_14</vt:lpstr>
      <vt:lpstr>'GMIC_2020-Annu_SCDPT4'!SCDPT4_9999999_15</vt:lpstr>
      <vt:lpstr>'GMIC_2020-Annu_SCDPT4'!SCDPT4_9999999_16</vt:lpstr>
      <vt:lpstr>'GMIC_2020-Annu_SCDPT4'!SCDPT4_9999999_17</vt:lpstr>
      <vt:lpstr>'GMIC_2020-Annu_SCDPT4'!SCDPT4_9999999_18</vt:lpstr>
      <vt:lpstr>'GMIC_2020-Annu_SCDPT4'!SCDPT4_9999999_19</vt:lpstr>
      <vt:lpstr>'GMIC_2020-Annu_SCDPT4'!SCDPT4_9999999_20</vt:lpstr>
      <vt:lpstr>'GMIC_2020-Annu_SCDPT4'!SCDPT4_9999999_7</vt:lpstr>
      <vt:lpstr>'GMIC_2020-Annu_SCDPT4'!SCDPT4_9999999_9</vt:lpstr>
      <vt:lpstr>'GMIC_2020-Annu_SCDPT5'!SCDPT5_0500000_Range</vt:lpstr>
      <vt:lpstr>'GMIC_2020-Annu_SCDPT5'!SCDPT5_0599999_10</vt:lpstr>
      <vt:lpstr>'GMIC_2020-Annu_SCDPT5'!SCDPT5_0599999_11</vt:lpstr>
      <vt:lpstr>'GMIC_2020-Annu_SCDPT5'!SCDPT5_0599999_12</vt:lpstr>
      <vt:lpstr>'GMIC_2020-Annu_SCDPT5'!SCDPT5_0599999_13</vt:lpstr>
      <vt:lpstr>'GMIC_2020-Annu_SCDPT5'!SCDPT5_0599999_14</vt:lpstr>
      <vt:lpstr>'GMIC_2020-Annu_SCDPT5'!SCDPT5_0599999_15</vt:lpstr>
      <vt:lpstr>'GMIC_2020-Annu_SCDPT5'!SCDPT5_0599999_16</vt:lpstr>
      <vt:lpstr>'GMIC_2020-Annu_SCDPT5'!SCDPT5_0599999_17</vt:lpstr>
      <vt:lpstr>'GMIC_2020-Annu_SCDPT5'!SCDPT5_0599999_18</vt:lpstr>
      <vt:lpstr>'GMIC_2020-Annu_SCDPT5'!SCDPT5_0599999_19</vt:lpstr>
      <vt:lpstr>'GMIC_2020-Annu_SCDPT5'!SCDPT5_0599999_20</vt:lpstr>
      <vt:lpstr>'GMIC_2020-Annu_SCDPT5'!SCDPT5_0599999_21</vt:lpstr>
      <vt:lpstr>'GMIC_2020-Annu_SCDPT5'!SCDPT5_0599999_8</vt:lpstr>
      <vt:lpstr>'GMIC_2020-Annu_SCDPT5'!SCDPT5_0599999_9</vt:lpstr>
      <vt:lpstr>'GMIC_2020-Annu_SCDPT5'!SCDPT5_05BEGIN_1</vt:lpstr>
      <vt:lpstr>'GMIC_2020-Annu_SCDPT5'!SCDPT5_05BEGIN_10</vt:lpstr>
      <vt:lpstr>'GMIC_2020-Annu_SCDPT5'!SCDPT5_05BEGIN_11</vt:lpstr>
      <vt:lpstr>'GMIC_2020-Annu_SCDPT5'!SCDPT5_05BEGIN_12</vt:lpstr>
      <vt:lpstr>'GMIC_2020-Annu_SCDPT5'!SCDPT5_05BEGIN_13</vt:lpstr>
      <vt:lpstr>'GMIC_2020-Annu_SCDPT5'!SCDPT5_05BEGIN_14</vt:lpstr>
      <vt:lpstr>'GMIC_2020-Annu_SCDPT5'!SCDPT5_05BEGIN_15</vt:lpstr>
      <vt:lpstr>'GMIC_2020-Annu_SCDPT5'!SCDPT5_05BEGIN_16</vt:lpstr>
      <vt:lpstr>'GMIC_2020-Annu_SCDPT5'!SCDPT5_05BEGIN_17</vt:lpstr>
      <vt:lpstr>'GMIC_2020-Annu_SCDPT5'!SCDPT5_05BEGIN_18</vt:lpstr>
      <vt:lpstr>'GMIC_2020-Annu_SCDPT5'!SCDPT5_05BEGIN_19</vt:lpstr>
      <vt:lpstr>'GMIC_2020-Annu_SCDPT5'!SCDPT5_05BEGIN_2</vt:lpstr>
      <vt:lpstr>'GMIC_2020-Annu_SCDPT5'!SCDPT5_05BEGIN_20</vt:lpstr>
      <vt:lpstr>'GMIC_2020-Annu_SCDPT5'!SCDPT5_05BEGIN_21</vt:lpstr>
      <vt:lpstr>'GMIC_2020-Annu_SCDPT5'!SCDPT5_05BEGIN_22</vt:lpstr>
      <vt:lpstr>'GMIC_2020-Annu_SCDPT5'!SCDPT5_05BEGIN_23</vt:lpstr>
      <vt:lpstr>'GMIC_2020-Annu_SCDPT5'!SCDPT5_05BEGIN_24</vt:lpstr>
      <vt:lpstr>'GMIC_2020-Annu_SCDPT5'!SCDPT5_05BEGIN_25</vt:lpstr>
      <vt:lpstr>'GMIC_2020-Annu_SCDPT5'!SCDPT5_05BEGIN_26</vt:lpstr>
      <vt:lpstr>'GMIC_2020-Annu_SCDPT5'!SCDPT5_05BEGIN_3</vt:lpstr>
      <vt:lpstr>'GMIC_2020-Annu_SCDPT5'!SCDPT5_05BEGIN_4</vt:lpstr>
      <vt:lpstr>'GMIC_2020-Annu_SCDPT5'!SCDPT5_05BEGIN_5</vt:lpstr>
      <vt:lpstr>'GMIC_2020-Annu_SCDPT5'!SCDPT5_05BEGIN_6</vt:lpstr>
      <vt:lpstr>'GMIC_2020-Annu_SCDPT5'!SCDPT5_05BEGIN_7</vt:lpstr>
      <vt:lpstr>'GMIC_2020-Annu_SCDPT5'!SCDPT5_05BEGIN_8</vt:lpstr>
      <vt:lpstr>'GMIC_2020-Annu_SCDPT5'!SCDPT5_05BEGIN_9</vt:lpstr>
      <vt:lpstr>'GMIC_2020-Annu_SCDPT5'!SCDPT5_05ENDIN_10</vt:lpstr>
      <vt:lpstr>'GMIC_2020-Annu_SCDPT5'!SCDPT5_05ENDIN_11</vt:lpstr>
      <vt:lpstr>'GMIC_2020-Annu_SCDPT5'!SCDPT5_05ENDIN_12</vt:lpstr>
      <vt:lpstr>'GMIC_2020-Annu_SCDPT5'!SCDPT5_05ENDIN_13</vt:lpstr>
      <vt:lpstr>'GMIC_2020-Annu_SCDPT5'!SCDPT5_05ENDIN_14</vt:lpstr>
      <vt:lpstr>'GMIC_2020-Annu_SCDPT5'!SCDPT5_05ENDIN_15</vt:lpstr>
      <vt:lpstr>'GMIC_2020-Annu_SCDPT5'!SCDPT5_05ENDIN_16</vt:lpstr>
      <vt:lpstr>'GMIC_2020-Annu_SCDPT5'!SCDPT5_05ENDIN_17</vt:lpstr>
      <vt:lpstr>'GMIC_2020-Annu_SCDPT5'!SCDPT5_05ENDIN_18</vt:lpstr>
      <vt:lpstr>'GMIC_2020-Annu_SCDPT5'!SCDPT5_05ENDIN_19</vt:lpstr>
      <vt:lpstr>'GMIC_2020-Annu_SCDPT5'!SCDPT5_05ENDIN_2</vt:lpstr>
      <vt:lpstr>'GMIC_2020-Annu_SCDPT5'!SCDPT5_05ENDIN_20</vt:lpstr>
      <vt:lpstr>'GMIC_2020-Annu_SCDPT5'!SCDPT5_05ENDIN_21</vt:lpstr>
      <vt:lpstr>'GMIC_2020-Annu_SCDPT5'!SCDPT5_05ENDIN_22</vt:lpstr>
      <vt:lpstr>'GMIC_2020-Annu_SCDPT5'!SCDPT5_05ENDIN_23</vt:lpstr>
      <vt:lpstr>'GMIC_2020-Annu_SCDPT5'!SCDPT5_05ENDIN_24</vt:lpstr>
      <vt:lpstr>'GMIC_2020-Annu_SCDPT5'!SCDPT5_05ENDIN_25</vt:lpstr>
      <vt:lpstr>'GMIC_2020-Annu_SCDPT5'!SCDPT5_05ENDIN_26</vt:lpstr>
      <vt:lpstr>'GMIC_2020-Annu_SCDPT5'!SCDPT5_05ENDIN_3</vt:lpstr>
      <vt:lpstr>'GMIC_2020-Annu_SCDPT5'!SCDPT5_05ENDIN_4</vt:lpstr>
      <vt:lpstr>'GMIC_2020-Annu_SCDPT5'!SCDPT5_05ENDIN_5</vt:lpstr>
      <vt:lpstr>'GMIC_2020-Annu_SCDPT5'!SCDPT5_05ENDIN_6</vt:lpstr>
      <vt:lpstr>'GMIC_2020-Annu_SCDPT5'!SCDPT5_05ENDIN_7</vt:lpstr>
      <vt:lpstr>'GMIC_2020-Annu_SCDPT5'!SCDPT5_05ENDIN_8</vt:lpstr>
      <vt:lpstr>'GMIC_2020-Annu_SCDPT5'!SCDPT5_05ENDIN_9</vt:lpstr>
      <vt:lpstr>'GMIC_2020-Annu_SCDPT5'!SCDPT5_1000000_Range</vt:lpstr>
      <vt:lpstr>'GMIC_2020-Annu_SCDPT5'!SCDPT5_1000001_1</vt:lpstr>
      <vt:lpstr>'GMIC_2020-Annu_SCDPT5'!SCDPT5_1000001_10</vt:lpstr>
      <vt:lpstr>'GMIC_2020-Annu_SCDPT5'!SCDPT5_1000001_11</vt:lpstr>
      <vt:lpstr>'GMIC_2020-Annu_SCDPT5'!SCDPT5_1000001_12</vt:lpstr>
      <vt:lpstr>'GMIC_2020-Annu_SCDPT5'!SCDPT5_1000001_13</vt:lpstr>
      <vt:lpstr>'GMIC_2020-Annu_SCDPT5'!SCDPT5_1000001_14</vt:lpstr>
      <vt:lpstr>'GMIC_2020-Annu_SCDPT5'!SCDPT5_1000001_15</vt:lpstr>
      <vt:lpstr>'GMIC_2020-Annu_SCDPT5'!SCDPT5_1000001_16</vt:lpstr>
      <vt:lpstr>'GMIC_2020-Annu_SCDPT5'!SCDPT5_1000001_17</vt:lpstr>
      <vt:lpstr>'GMIC_2020-Annu_SCDPT5'!SCDPT5_1000001_18</vt:lpstr>
      <vt:lpstr>'GMIC_2020-Annu_SCDPT5'!SCDPT5_1000001_19</vt:lpstr>
      <vt:lpstr>'GMIC_2020-Annu_SCDPT5'!SCDPT5_1000001_2</vt:lpstr>
      <vt:lpstr>'GMIC_2020-Annu_SCDPT5'!SCDPT5_1000001_20</vt:lpstr>
      <vt:lpstr>'GMIC_2020-Annu_SCDPT5'!SCDPT5_1000001_21</vt:lpstr>
      <vt:lpstr>'GMIC_2020-Annu_SCDPT5'!SCDPT5_1000001_23</vt:lpstr>
      <vt:lpstr>'GMIC_2020-Annu_SCDPT5'!SCDPT5_1000001_24</vt:lpstr>
      <vt:lpstr>'GMIC_2020-Annu_SCDPT5'!SCDPT5_1000001_25</vt:lpstr>
      <vt:lpstr>'GMIC_2020-Annu_SCDPT5'!SCDPT5_1000001_26</vt:lpstr>
      <vt:lpstr>'GMIC_2020-Annu_SCDPT5'!SCDPT5_1000001_3</vt:lpstr>
      <vt:lpstr>'GMIC_2020-Annu_SCDPT5'!SCDPT5_1000001_4</vt:lpstr>
      <vt:lpstr>'GMIC_2020-Annu_SCDPT5'!SCDPT5_1000001_5</vt:lpstr>
      <vt:lpstr>'GMIC_2020-Annu_SCDPT5'!SCDPT5_1000001_6</vt:lpstr>
      <vt:lpstr>'GMIC_2020-Annu_SCDPT5'!SCDPT5_1000001_7</vt:lpstr>
      <vt:lpstr>'GMIC_2020-Annu_SCDPT5'!SCDPT5_1000001_8</vt:lpstr>
      <vt:lpstr>'GMIC_2020-Annu_SCDPT5'!SCDPT5_1000001_9</vt:lpstr>
      <vt:lpstr>'GMIC_2020-Annu_SCDPT5'!SCDPT5_1099999_10</vt:lpstr>
      <vt:lpstr>'GMIC_2020-Annu_SCDPT5'!SCDPT5_1099999_11</vt:lpstr>
      <vt:lpstr>'GMIC_2020-Annu_SCDPT5'!SCDPT5_1099999_12</vt:lpstr>
      <vt:lpstr>'GMIC_2020-Annu_SCDPT5'!SCDPT5_1099999_13</vt:lpstr>
      <vt:lpstr>'GMIC_2020-Annu_SCDPT5'!SCDPT5_1099999_14</vt:lpstr>
      <vt:lpstr>'GMIC_2020-Annu_SCDPT5'!SCDPT5_1099999_15</vt:lpstr>
      <vt:lpstr>'GMIC_2020-Annu_SCDPT5'!SCDPT5_1099999_16</vt:lpstr>
      <vt:lpstr>'GMIC_2020-Annu_SCDPT5'!SCDPT5_1099999_17</vt:lpstr>
      <vt:lpstr>'GMIC_2020-Annu_SCDPT5'!SCDPT5_1099999_18</vt:lpstr>
      <vt:lpstr>'GMIC_2020-Annu_SCDPT5'!SCDPT5_1099999_19</vt:lpstr>
      <vt:lpstr>'GMIC_2020-Annu_SCDPT5'!SCDPT5_1099999_20</vt:lpstr>
      <vt:lpstr>'GMIC_2020-Annu_SCDPT5'!SCDPT5_1099999_21</vt:lpstr>
      <vt:lpstr>'GMIC_2020-Annu_SCDPT5'!SCDPT5_1099999_8</vt:lpstr>
      <vt:lpstr>'GMIC_2020-Annu_SCDPT5'!SCDPT5_1099999_9</vt:lpstr>
      <vt:lpstr>'GMIC_2020-Annu_SCDPT5'!SCDPT5_10BEGIN_1</vt:lpstr>
      <vt:lpstr>'GMIC_2020-Annu_SCDPT5'!SCDPT5_10BEGIN_10</vt:lpstr>
      <vt:lpstr>'GMIC_2020-Annu_SCDPT5'!SCDPT5_10BEGIN_11</vt:lpstr>
      <vt:lpstr>'GMIC_2020-Annu_SCDPT5'!SCDPT5_10BEGIN_12</vt:lpstr>
      <vt:lpstr>'GMIC_2020-Annu_SCDPT5'!SCDPT5_10BEGIN_13</vt:lpstr>
      <vt:lpstr>'GMIC_2020-Annu_SCDPT5'!SCDPT5_10BEGIN_14</vt:lpstr>
      <vt:lpstr>'GMIC_2020-Annu_SCDPT5'!SCDPT5_10BEGIN_15</vt:lpstr>
      <vt:lpstr>'GMIC_2020-Annu_SCDPT5'!SCDPT5_10BEGIN_16</vt:lpstr>
      <vt:lpstr>'GMIC_2020-Annu_SCDPT5'!SCDPT5_10BEGIN_17</vt:lpstr>
      <vt:lpstr>'GMIC_2020-Annu_SCDPT5'!SCDPT5_10BEGIN_18</vt:lpstr>
      <vt:lpstr>'GMIC_2020-Annu_SCDPT5'!SCDPT5_10BEGIN_19</vt:lpstr>
      <vt:lpstr>'GMIC_2020-Annu_SCDPT5'!SCDPT5_10BEGIN_2</vt:lpstr>
      <vt:lpstr>'GMIC_2020-Annu_SCDPT5'!SCDPT5_10BEGIN_20</vt:lpstr>
      <vt:lpstr>'GMIC_2020-Annu_SCDPT5'!SCDPT5_10BEGIN_21</vt:lpstr>
      <vt:lpstr>'GMIC_2020-Annu_SCDPT5'!SCDPT5_10BEGIN_22</vt:lpstr>
      <vt:lpstr>'GMIC_2020-Annu_SCDPT5'!SCDPT5_10BEGIN_23</vt:lpstr>
      <vt:lpstr>'GMIC_2020-Annu_SCDPT5'!SCDPT5_10BEGIN_24</vt:lpstr>
      <vt:lpstr>'GMIC_2020-Annu_SCDPT5'!SCDPT5_10BEGIN_25</vt:lpstr>
      <vt:lpstr>'GMIC_2020-Annu_SCDPT5'!SCDPT5_10BEGIN_26</vt:lpstr>
      <vt:lpstr>'GMIC_2020-Annu_SCDPT5'!SCDPT5_10BEGIN_3</vt:lpstr>
      <vt:lpstr>'GMIC_2020-Annu_SCDPT5'!SCDPT5_10BEGIN_4</vt:lpstr>
      <vt:lpstr>'GMIC_2020-Annu_SCDPT5'!SCDPT5_10BEGIN_5</vt:lpstr>
      <vt:lpstr>'GMIC_2020-Annu_SCDPT5'!SCDPT5_10BEGIN_6</vt:lpstr>
      <vt:lpstr>'GMIC_2020-Annu_SCDPT5'!SCDPT5_10BEGIN_7</vt:lpstr>
      <vt:lpstr>'GMIC_2020-Annu_SCDPT5'!SCDPT5_10BEGIN_8</vt:lpstr>
      <vt:lpstr>'GMIC_2020-Annu_SCDPT5'!SCDPT5_10BEGIN_9</vt:lpstr>
      <vt:lpstr>'GMIC_2020-Annu_SCDPT5'!SCDPT5_10ENDIN_10</vt:lpstr>
      <vt:lpstr>'GMIC_2020-Annu_SCDPT5'!SCDPT5_10ENDIN_11</vt:lpstr>
      <vt:lpstr>'GMIC_2020-Annu_SCDPT5'!SCDPT5_10ENDIN_12</vt:lpstr>
      <vt:lpstr>'GMIC_2020-Annu_SCDPT5'!SCDPT5_10ENDIN_13</vt:lpstr>
      <vt:lpstr>'GMIC_2020-Annu_SCDPT5'!SCDPT5_10ENDIN_14</vt:lpstr>
      <vt:lpstr>'GMIC_2020-Annu_SCDPT5'!SCDPT5_10ENDIN_15</vt:lpstr>
      <vt:lpstr>'GMIC_2020-Annu_SCDPT5'!SCDPT5_10ENDIN_16</vt:lpstr>
      <vt:lpstr>'GMIC_2020-Annu_SCDPT5'!SCDPT5_10ENDIN_17</vt:lpstr>
      <vt:lpstr>'GMIC_2020-Annu_SCDPT5'!SCDPT5_10ENDIN_18</vt:lpstr>
      <vt:lpstr>'GMIC_2020-Annu_SCDPT5'!SCDPT5_10ENDIN_19</vt:lpstr>
      <vt:lpstr>'GMIC_2020-Annu_SCDPT5'!SCDPT5_10ENDIN_2</vt:lpstr>
      <vt:lpstr>'GMIC_2020-Annu_SCDPT5'!SCDPT5_10ENDIN_20</vt:lpstr>
      <vt:lpstr>'GMIC_2020-Annu_SCDPT5'!SCDPT5_10ENDIN_21</vt:lpstr>
      <vt:lpstr>'GMIC_2020-Annu_SCDPT5'!SCDPT5_10ENDIN_22</vt:lpstr>
      <vt:lpstr>'GMIC_2020-Annu_SCDPT5'!SCDPT5_10ENDIN_23</vt:lpstr>
      <vt:lpstr>'GMIC_2020-Annu_SCDPT5'!SCDPT5_10ENDIN_24</vt:lpstr>
      <vt:lpstr>'GMIC_2020-Annu_SCDPT5'!SCDPT5_10ENDIN_25</vt:lpstr>
      <vt:lpstr>'GMIC_2020-Annu_SCDPT5'!SCDPT5_10ENDIN_26</vt:lpstr>
      <vt:lpstr>'GMIC_2020-Annu_SCDPT5'!SCDPT5_10ENDIN_3</vt:lpstr>
      <vt:lpstr>'GMIC_2020-Annu_SCDPT5'!SCDPT5_10ENDIN_4</vt:lpstr>
      <vt:lpstr>'GMIC_2020-Annu_SCDPT5'!SCDPT5_10ENDIN_5</vt:lpstr>
      <vt:lpstr>'GMIC_2020-Annu_SCDPT5'!SCDPT5_10ENDIN_6</vt:lpstr>
      <vt:lpstr>'GMIC_2020-Annu_SCDPT5'!SCDPT5_10ENDIN_7</vt:lpstr>
      <vt:lpstr>'GMIC_2020-Annu_SCDPT5'!SCDPT5_10ENDIN_8</vt:lpstr>
      <vt:lpstr>'GMIC_2020-Annu_SCDPT5'!SCDPT5_10ENDIN_9</vt:lpstr>
      <vt:lpstr>'GMIC_2020-Annu_SCDPT5'!SCDPT5_1700000_Range</vt:lpstr>
      <vt:lpstr>'GMIC_2020-Annu_SCDPT5'!SCDPT5_1799999_10</vt:lpstr>
      <vt:lpstr>'GMIC_2020-Annu_SCDPT5'!SCDPT5_1799999_11</vt:lpstr>
      <vt:lpstr>'GMIC_2020-Annu_SCDPT5'!SCDPT5_1799999_12</vt:lpstr>
      <vt:lpstr>'GMIC_2020-Annu_SCDPT5'!SCDPT5_1799999_13</vt:lpstr>
      <vt:lpstr>'GMIC_2020-Annu_SCDPT5'!SCDPT5_1799999_14</vt:lpstr>
      <vt:lpstr>'GMIC_2020-Annu_SCDPT5'!SCDPT5_1799999_15</vt:lpstr>
      <vt:lpstr>'GMIC_2020-Annu_SCDPT5'!SCDPT5_1799999_16</vt:lpstr>
      <vt:lpstr>'GMIC_2020-Annu_SCDPT5'!SCDPT5_1799999_17</vt:lpstr>
      <vt:lpstr>'GMIC_2020-Annu_SCDPT5'!SCDPT5_1799999_18</vt:lpstr>
      <vt:lpstr>'GMIC_2020-Annu_SCDPT5'!SCDPT5_1799999_19</vt:lpstr>
      <vt:lpstr>'GMIC_2020-Annu_SCDPT5'!SCDPT5_1799999_20</vt:lpstr>
      <vt:lpstr>'GMIC_2020-Annu_SCDPT5'!SCDPT5_1799999_21</vt:lpstr>
      <vt:lpstr>'GMIC_2020-Annu_SCDPT5'!SCDPT5_1799999_8</vt:lpstr>
      <vt:lpstr>'GMIC_2020-Annu_SCDPT5'!SCDPT5_1799999_9</vt:lpstr>
      <vt:lpstr>'GMIC_2020-Annu_SCDPT5'!SCDPT5_17BEGIN_1</vt:lpstr>
      <vt:lpstr>'GMIC_2020-Annu_SCDPT5'!SCDPT5_17BEGIN_10</vt:lpstr>
      <vt:lpstr>'GMIC_2020-Annu_SCDPT5'!SCDPT5_17BEGIN_11</vt:lpstr>
      <vt:lpstr>'GMIC_2020-Annu_SCDPT5'!SCDPT5_17BEGIN_12</vt:lpstr>
      <vt:lpstr>'GMIC_2020-Annu_SCDPT5'!SCDPT5_17BEGIN_13</vt:lpstr>
      <vt:lpstr>'GMIC_2020-Annu_SCDPT5'!SCDPT5_17BEGIN_14</vt:lpstr>
      <vt:lpstr>'GMIC_2020-Annu_SCDPT5'!SCDPT5_17BEGIN_15</vt:lpstr>
      <vt:lpstr>'GMIC_2020-Annu_SCDPT5'!SCDPT5_17BEGIN_16</vt:lpstr>
      <vt:lpstr>'GMIC_2020-Annu_SCDPT5'!SCDPT5_17BEGIN_17</vt:lpstr>
      <vt:lpstr>'GMIC_2020-Annu_SCDPT5'!SCDPT5_17BEGIN_18</vt:lpstr>
      <vt:lpstr>'GMIC_2020-Annu_SCDPT5'!SCDPT5_17BEGIN_19</vt:lpstr>
      <vt:lpstr>'GMIC_2020-Annu_SCDPT5'!SCDPT5_17BEGIN_2</vt:lpstr>
      <vt:lpstr>'GMIC_2020-Annu_SCDPT5'!SCDPT5_17BEGIN_20</vt:lpstr>
      <vt:lpstr>'GMIC_2020-Annu_SCDPT5'!SCDPT5_17BEGIN_21</vt:lpstr>
      <vt:lpstr>'GMIC_2020-Annu_SCDPT5'!SCDPT5_17BEGIN_22</vt:lpstr>
      <vt:lpstr>'GMIC_2020-Annu_SCDPT5'!SCDPT5_17BEGIN_23</vt:lpstr>
      <vt:lpstr>'GMIC_2020-Annu_SCDPT5'!SCDPT5_17BEGIN_24</vt:lpstr>
      <vt:lpstr>'GMIC_2020-Annu_SCDPT5'!SCDPT5_17BEGIN_25</vt:lpstr>
      <vt:lpstr>'GMIC_2020-Annu_SCDPT5'!SCDPT5_17BEGIN_26</vt:lpstr>
      <vt:lpstr>'GMIC_2020-Annu_SCDPT5'!SCDPT5_17BEGIN_3</vt:lpstr>
      <vt:lpstr>'GMIC_2020-Annu_SCDPT5'!SCDPT5_17BEGIN_4</vt:lpstr>
      <vt:lpstr>'GMIC_2020-Annu_SCDPT5'!SCDPT5_17BEGIN_5</vt:lpstr>
      <vt:lpstr>'GMIC_2020-Annu_SCDPT5'!SCDPT5_17BEGIN_6</vt:lpstr>
      <vt:lpstr>'GMIC_2020-Annu_SCDPT5'!SCDPT5_17BEGIN_7</vt:lpstr>
      <vt:lpstr>'GMIC_2020-Annu_SCDPT5'!SCDPT5_17BEGIN_8</vt:lpstr>
      <vt:lpstr>'GMIC_2020-Annu_SCDPT5'!SCDPT5_17BEGIN_9</vt:lpstr>
      <vt:lpstr>'GMIC_2020-Annu_SCDPT5'!SCDPT5_17ENDIN_10</vt:lpstr>
      <vt:lpstr>'GMIC_2020-Annu_SCDPT5'!SCDPT5_17ENDIN_11</vt:lpstr>
      <vt:lpstr>'GMIC_2020-Annu_SCDPT5'!SCDPT5_17ENDIN_12</vt:lpstr>
      <vt:lpstr>'GMIC_2020-Annu_SCDPT5'!SCDPT5_17ENDIN_13</vt:lpstr>
      <vt:lpstr>'GMIC_2020-Annu_SCDPT5'!SCDPT5_17ENDIN_14</vt:lpstr>
      <vt:lpstr>'GMIC_2020-Annu_SCDPT5'!SCDPT5_17ENDIN_15</vt:lpstr>
      <vt:lpstr>'GMIC_2020-Annu_SCDPT5'!SCDPT5_17ENDIN_16</vt:lpstr>
      <vt:lpstr>'GMIC_2020-Annu_SCDPT5'!SCDPT5_17ENDIN_17</vt:lpstr>
      <vt:lpstr>'GMIC_2020-Annu_SCDPT5'!SCDPT5_17ENDIN_18</vt:lpstr>
      <vt:lpstr>'GMIC_2020-Annu_SCDPT5'!SCDPT5_17ENDIN_19</vt:lpstr>
      <vt:lpstr>'GMIC_2020-Annu_SCDPT5'!SCDPT5_17ENDIN_2</vt:lpstr>
      <vt:lpstr>'GMIC_2020-Annu_SCDPT5'!SCDPT5_17ENDIN_20</vt:lpstr>
      <vt:lpstr>'GMIC_2020-Annu_SCDPT5'!SCDPT5_17ENDIN_21</vt:lpstr>
      <vt:lpstr>'GMIC_2020-Annu_SCDPT5'!SCDPT5_17ENDIN_22</vt:lpstr>
      <vt:lpstr>'GMIC_2020-Annu_SCDPT5'!SCDPT5_17ENDIN_23</vt:lpstr>
      <vt:lpstr>'GMIC_2020-Annu_SCDPT5'!SCDPT5_17ENDIN_24</vt:lpstr>
      <vt:lpstr>'GMIC_2020-Annu_SCDPT5'!SCDPT5_17ENDIN_25</vt:lpstr>
      <vt:lpstr>'GMIC_2020-Annu_SCDPT5'!SCDPT5_17ENDIN_26</vt:lpstr>
      <vt:lpstr>'GMIC_2020-Annu_SCDPT5'!SCDPT5_17ENDIN_3</vt:lpstr>
      <vt:lpstr>'GMIC_2020-Annu_SCDPT5'!SCDPT5_17ENDIN_4</vt:lpstr>
      <vt:lpstr>'GMIC_2020-Annu_SCDPT5'!SCDPT5_17ENDIN_5</vt:lpstr>
      <vt:lpstr>'GMIC_2020-Annu_SCDPT5'!SCDPT5_17ENDIN_6</vt:lpstr>
      <vt:lpstr>'GMIC_2020-Annu_SCDPT5'!SCDPT5_17ENDIN_7</vt:lpstr>
      <vt:lpstr>'GMIC_2020-Annu_SCDPT5'!SCDPT5_17ENDIN_8</vt:lpstr>
      <vt:lpstr>'GMIC_2020-Annu_SCDPT5'!SCDPT5_17ENDIN_9</vt:lpstr>
      <vt:lpstr>'GMIC_2020-Annu_SCDPT5'!SCDPT5_2400000_Range</vt:lpstr>
      <vt:lpstr>'GMIC_2020-Annu_SCDPT5'!SCDPT5_2499999_10</vt:lpstr>
      <vt:lpstr>'GMIC_2020-Annu_SCDPT5'!SCDPT5_2499999_11</vt:lpstr>
      <vt:lpstr>'GMIC_2020-Annu_SCDPT5'!SCDPT5_2499999_12</vt:lpstr>
      <vt:lpstr>'GMIC_2020-Annu_SCDPT5'!SCDPT5_2499999_13</vt:lpstr>
      <vt:lpstr>'GMIC_2020-Annu_SCDPT5'!SCDPT5_2499999_14</vt:lpstr>
      <vt:lpstr>'GMIC_2020-Annu_SCDPT5'!SCDPT5_2499999_15</vt:lpstr>
      <vt:lpstr>'GMIC_2020-Annu_SCDPT5'!SCDPT5_2499999_16</vt:lpstr>
      <vt:lpstr>'GMIC_2020-Annu_SCDPT5'!SCDPT5_2499999_17</vt:lpstr>
      <vt:lpstr>'GMIC_2020-Annu_SCDPT5'!SCDPT5_2499999_18</vt:lpstr>
      <vt:lpstr>'GMIC_2020-Annu_SCDPT5'!SCDPT5_2499999_19</vt:lpstr>
      <vt:lpstr>'GMIC_2020-Annu_SCDPT5'!SCDPT5_2499999_20</vt:lpstr>
      <vt:lpstr>'GMIC_2020-Annu_SCDPT5'!SCDPT5_2499999_21</vt:lpstr>
      <vt:lpstr>'GMIC_2020-Annu_SCDPT5'!SCDPT5_2499999_8</vt:lpstr>
      <vt:lpstr>'GMIC_2020-Annu_SCDPT5'!SCDPT5_2499999_9</vt:lpstr>
      <vt:lpstr>'GMIC_2020-Annu_SCDPT5'!SCDPT5_24BEGIN_1</vt:lpstr>
      <vt:lpstr>'GMIC_2020-Annu_SCDPT5'!SCDPT5_24BEGIN_10</vt:lpstr>
      <vt:lpstr>'GMIC_2020-Annu_SCDPT5'!SCDPT5_24BEGIN_11</vt:lpstr>
      <vt:lpstr>'GMIC_2020-Annu_SCDPT5'!SCDPT5_24BEGIN_12</vt:lpstr>
      <vt:lpstr>'GMIC_2020-Annu_SCDPT5'!SCDPT5_24BEGIN_13</vt:lpstr>
      <vt:lpstr>'GMIC_2020-Annu_SCDPT5'!SCDPT5_24BEGIN_14</vt:lpstr>
      <vt:lpstr>'GMIC_2020-Annu_SCDPT5'!SCDPT5_24BEGIN_15</vt:lpstr>
      <vt:lpstr>'GMIC_2020-Annu_SCDPT5'!SCDPT5_24BEGIN_16</vt:lpstr>
      <vt:lpstr>'GMIC_2020-Annu_SCDPT5'!SCDPT5_24BEGIN_17</vt:lpstr>
      <vt:lpstr>'GMIC_2020-Annu_SCDPT5'!SCDPT5_24BEGIN_18</vt:lpstr>
      <vt:lpstr>'GMIC_2020-Annu_SCDPT5'!SCDPT5_24BEGIN_19</vt:lpstr>
      <vt:lpstr>'GMIC_2020-Annu_SCDPT5'!SCDPT5_24BEGIN_2</vt:lpstr>
      <vt:lpstr>'GMIC_2020-Annu_SCDPT5'!SCDPT5_24BEGIN_20</vt:lpstr>
      <vt:lpstr>'GMIC_2020-Annu_SCDPT5'!SCDPT5_24BEGIN_21</vt:lpstr>
      <vt:lpstr>'GMIC_2020-Annu_SCDPT5'!SCDPT5_24BEGIN_22</vt:lpstr>
      <vt:lpstr>'GMIC_2020-Annu_SCDPT5'!SCDPT5_24BEGIN_23</vt:lpstr>
      <vt:lpstr>'GMIC_2020-Annu_SCDPT5'!SCDPT5_24BEGIN_24</vt:lpstr>
      <vt:lpstr>'GMIC_2020-Annu_SCDPT5'!SCDPT5_24BEGIN_25</vt:lpstr>
      <vt:lpstr>'GMIC_2020-Annu_SCDPT5'!SCDPT5_24BEGIN_26</vt:lpstr>
      <vt:lpstr>'GMIC_2020-Annu_SCDPT5'!SCDPT5_24BEGIN_3</vt:lpstr>
      <vt:lpstr>'GMIC_2020-Annu_SCDPT5'!SCDPT5_24BEGIN_4</vt:lpstr>
      <vt:lpstr>'GMIC_2020-Annu_SCDPT5'!SCDPT5_24BEGIN_5</vt:lpstr>
      <vt:lpstr>'GMIC_2020-Annu_SCDPT5'!SCDPT5_24BEGIN_6</vt:lpstr>
      <vt:lpstr>'GMIC_2020-Annu_SCDPT5'!SCDPT5_24BEGIN_7</vt:lpstr>
      <vt:lpstr>'GMIC_2020-Annu_SCDPT5'!SCDPT5_24BEGIN_8</vt:lpstr>
      <vt:lpstr>'GMIC_2020-Annu_SCDPT5'!SCDPT5_24BEGIN_9</vt:lpstr>
      <vt:lpstr>'GMIC_2020-Annu_SCDPT5'!SCDPT5_24ENDIN_10</vt:lpstr>
      <vt:lpstr>'GMIC_2020-Annu_SCDPT5'!SCDPT5_24ENDIN_11</vt:lpstr>
      <vt:lpstr>'GMIC_2020-Annu_SCDPT5'!SCDPT5_24ENDIN_12</vt:lpstr>
      <vt:lpstr>'GMIC_2020-Annu_SCDPT5'!SCDPT5_24ENDIN_13</vt:lpstr>
      <vt:lpstr>'GMIC_2020-Annu_SCDPT5'!SCDPT5_24ENDIN_14</vt:lpstr>
      <vt:lpstr>'GMIC_2020-Annu_SCDPT5'!SCDPT5_24ENDIN_15</vt:lpstr>
      <vt:lpstr>'GMIC_2020-Annu_SCDPT5'!SCDPT5_24ENDIN_16</vt:lpstr>
      <vt:lpstr>'GMIC_2020-Annu_SCDPT5'!SCDPT5_24ENDIN_17</vt:lpstr>
      <vt:lpstr>'GMIC_2020-Annu_SCDPT5'!SCDPT5_24ENDIN_18</vt:lpstr>
      <vt:lpstr>'GMIC_2020-Annu_SCDPT5'!SCDPT5_24ENDIN_19</vt:lpstr>
      <vt:lpstr>'GMIC_2020-Annu_SCDPT5'!SCDPT5_24ENDIN_2</vt:lpstr>
      <vt:lpstr>'GMIC_2020-Annu_SCDPT5'!SCDPT5_24ENDIN_20</vt:lpstr>
      <vt:lpstr>'GMIC_2020-Annu_SCDPT5'!SCDPT5_24ENDIN_21</vt:lpstr>
      <vt:lpstr>'GMIC_2020-Annu_SCDPT5'!SCDPT5_24ENDIN_22</vt:lpstr>
      <vt:lpstr>'GMIC_2020-Annu_SCDPT5'!SCDPT5_24ENDIN_23</vt:lpstr>
      <vt:lpstr>'GMIC_2020-Annu_SCDPT5'!SCDPT5_24ENDIN_24</vt:lpstr>
      <vt:lpstr>'GMIC_2020-Annu_SCDPT5'!SCDPT5_24ENDIN_25</vt:lpstr>
      <vt:lpstr>'GMIC_2020-Annu_SCDPT5'!SCDPT5_24ENDIN_26</vt:lpstr>
      <vt:lpstr>'GMIC_2020-Annu_SCDPT5'!SCDPT5_24ENDIN_3</vt:lpstr>
      <vt:lpstr>'GMIC_2020-Annu_SCDPT5'!SCDPT5_24ENDIN_4</vt:lpstr>
      <vt:lpstr>'GMIC_2020-Annu_SCDPT5'!SCDPT5_24ENDIN_5</vt:lpstr>
      <vt:lpstr>'GMIC_2020-Annu_SCDPT5'!SCDPT5_24ENDIN_6</vt:lpstr>
      <vt:lpstr>'GMIC_2020-Annu_SCDPT5'!SCDPT5_24ENDIN_7</vt:lpstr>
      <vt:lpstr>'GMIC_2020-Annu_SCDPT5'!SCDPT5_24ENDIN_8</vt:lpstr>
      <vt:lpstr>'GMIC_2020-Annu_SCDPT5'!SCDPT5_24ENDIN_9</vt:lpstr>
      <vt:lpstr>'GMIC_2020-Annu_SCDPT5'!SCDPT5_3100000_Range</vt:lpstr>
      <vt:lpstr>'GMIC_2020-Annu_SCDPT5'!SCDPT5_3199999_10</vt:lpstr>
      <vt:lpstr>'GMIC_2020-Annu_SCDPT5'!SCDPT5_3199999_11</vt:lpstr>
      <vt:lpstr>'GMIC_2020-Annu_SCDPT5'!SCDPT5_3199999_12</vt:lpstr>
      <vt:lpstr>'GMIC_2020-Annu_SCDPT5'!SCDPT5_3199999_13</vt:lpstr>
      <vt:lpstr>'GMIC_2020-Annu_SCDPT5'!SCDPT5_3199999_14</vt:lpstr>
      <vt:lpstr>'GMIC_2020-Annu_SCDPT5'!SCDPT5_3199999_15</vt:lpstr>
      <vt:lpstr>'GMIC_2020-Annu_SCDPT5'!SCDPT5_3199999_16</vt:lpstr>
      <vt:lpstr>'GMIC_2020-Annu_SCDPT5'!SCDPT5_3199999_17</vt:lpstr>
      <vt:lpstr>'GMIC_2020-Annu_SCDPT5'!SCDPT5_3199999_18</vt:lpstr>
      <vt:lpstr>'GMIC_2020-Annu_SCDPT5'!SCDPT5_3199999_19</vt:lpstr>
      <vt:lpstr>'GMIC_2020-Annu_SCDPT5'!SCDPT5_3199999_20</vt:lpstr>
      <vt:lpstr>'GMIC_2020-Annu_SCDPT5'!SCDPT5_3199999_21</vt:lpstr>
      <vt:lpstr>'GMIC_2020-Annu_SCDPT5'!SCDPT5_3199999_8</vt:lpstr>
      <vt:lpstr>'GMIC_2020-Annu_SCDPT5'!SCDPT5_3199999_9</vt:lpstr>
      <vt:lpstr>'GMIC_2020-Annu_SCDPT5'!SCDPT5_31BEGIN_1</vt:lpstr>
      <vt:lpstr>'GMIC_2020-Annu_SCDPT5'!SCDPT5_31BEGIN_10</vt:lpstr>
      <vt:lpstr>'GMIC_2020-Annu_SCDPT5'!SCDPT5_31BEGIN_11</vt:lpstr>
      <vt:lpstr>'GMIC_2020-Annu_SCDPT5'!SCDPT5_31BEGIN_12</vt:lpstr>
      <vt:lpstr>'GMIC_2020-Annu_SCDPT5'!SCDPT5_31BEGIN_13</vt:lpstr>
      <vt:lpstr>'GMIC_2020-Annu_SCDPT5'!SCDPT5_31BEGIN_14</vt:lpstr>
      <vt:lpstr>'GMIC_2020-Annu_SCDPT5'!SCDPT5_31BEGIN_15</vt:lpstr>
      <vt:lpstr>'GMIC_2020-Annu_SCDPT5'!SCDPT5_31BEGIN_16</vt:lpstr>
      <vt:lpstr>'GMIC_2020-Annu_SCDPT5'!SCDPT5_31BEGIN_17</vt:lpstr>
      <vt:lpstr>'GMIC_2020-Annu_SCDPT5'!SCDPT5_31BEGIN_18</vt:lpstr>
      <vt:lpstr>'GMIC_2020-Annu_SCDPT5'!SCDPT5_31BEGIN_19</vt:lpstr>
      <vt:lpstr>'GMIC_2020-Annu_SCDPT5'!SCDPT5_31BEGIN_2</vt:lpstr>
      <vt:lpstr>'GMIC_2020-Annu_SCDPT5'!SCDPT5_31BEGIN_20</vt:lpstr>
      <vt:lpstr>'GMIC_2020-Annu_SCDPT5'!SCDPT5_31BEGIN_21</vt:lpstr>
      <vt:lpstr>'GMIC_2020-Annu_SCDPT5'!SCDPT5_31BEGIN_22</vt:lpstr>
      <vt:lpstr>'GMIC_2020-Annu_SCDPT5'!SCDPT5_31BEGIN_23</vt:lpstr>
      <vt:lpstr>'GMIC_2020-Annu_SCDPT5'!SCDPT5_31BEGIN_24</vt:lpstr>
      <vt:lpstr>'GMIC_2020-Annu_SCDPT5'!SCDPT5_31BEGIN_25</vt:lpstr>
      <vt:lpstr>'GMIC_2020-Annu_SCDPT5'!SCDPT5_31BEGIN_26</vt:lpstr>
      <vt:lpstr>'GMIC_2020-Annu_SCDPT5'!SCDPT5_31BEGIN_3</vt:lpstr>
      <vt:lpstr>'GMIC_2020-Annu_SCDPT5'!SCDPT5_31BEGIN_4</vt:lpstr>
      <vt:lpstr>'GMIC_2020-Annu_SCDPT5'!SCDPT5_31BEGIN_5</vt:lpstr>
      <vt:lpstr>'GMIC_2020-Annu_SCDPT5'!SCDPT5_31BEGIN_6</vt:lpstr>
      <vt:lpstr>'GMIC_2020-Annu_SCDPT5'!SCDPT5_31BEGIN_7</vt:lpstr>
      <vt:lpstr>'GMIC_2020-Annu_SCDPT5'!SCDPT5_31BEGIN_8</vt:lpstr>
      <vt:lpstr>'GMIC_2020-Annu_SCDPT5'!SCDPT5_31BEGIN_9</vt:lpstr>
      <vt:lpstr>'GMIC_2020-Annu_SCDPT5'!SCDPT5_31ENDIN_10</vt:lpstr>
      <vt:lpstr>'GMIC_2020-Annu_SCDPT5'!SCDPT5_31ENDIN_11</vt:lpstr>
      <vt:lpstr>'GMIC_2020-Annu_SCDPT5'!SCDPT5_31ENDIN_12</vt:lpstr>
      <vt:lpstr>'GMIC_2020-Annu_SCDPT5'!SCDPT5_31ENDIN_13</vt:lpstr>
      <vt:lpstr>'GMIC_2020-Annu_SCDPT5'!SCDPT5_31ENDIN_14</vt:lpstr>
      <vt:lpstr>'GMIC_2020-Annu_SCDPT5'!SCDPT5_31ENDIN_15</vt:lpstr>
      <vt:lpstr>'GMIC_2020-Annu_SCDPT5'!SCDPT5_31ENDIN_16</vt:lpstr>
      <vt:lpstr>'GMIC_2020-Annu_SCDPT5'!SCDPT5_31ENDIN_17</vt:lpstr>
      <vt:lpstr>'GMIC_2020-Annu_SCDPT5'!SCDPT5_31ENDIN_18</vt:lpstr>
      <vt:lpstr>'GMIC_2020-Annu_SCDPT5'!SCDPT5_31ENDIN_19</vt:lpstr>
      <vt:lpstr>'GMIC_2020-Annu_SCDPT5'!SCDPT5_31ENDIN_2</vt:lpstr>
      <vt:lpstr>'GMIC_2020-Annu_SCDPT5'!SCDPT5_31ENDIN_20</vt:lpstr>
      <vt:lpstr>'GMIC_2020-Annu_SCDPT5'!SCDPT5_31ENDIN_21</vt:lpstr>
      <vt:lpstr>'GMIC_2020-Annu_SCDPT5'!SCDPT5_31ENDIN_22</vt:lpstr>
      <vt:lpstr>'GMIC_2020-Annu_SCDPT5'!SCDPT5_31ENDIN_23</vt:lpstr>
      <vt:lpstr>'GMIC_2020-Annu_SCDPT5'!SCDPT5_31ENDIN_24</vt:lpstr>
      <vt:lpstr>'GMIC_2020-Annu_SCDPT5'!SCDPT5_31ENDIN_25</vt:lpstr>
      <vt:lpstr>'GMIC_2020-Annu_SCDPT5'!SCDPT5_31ENDIN_26</vt:lpstr>
      <vt:lpstr>'GMIC_2020-Annu_SCDPT5'!SCDPT5_31ENDIN_3</vt:lpstr>
      <vt:lpstr>'GMIC_2020-Annu_SCDPT5'!SCDPT5_31ENDIN_4</vt:lpstr>
      <vt:lpstr>'GMIC_2020-Annu_SCDPT5'!SCDPT5_31ENDIN_5</vt:lpstr>
      <vt:lpstr>'GMIC_2020-Annu_SCDPT5'!SCDPT5_31ENDIN_6</vt:lpstr>
      <vt:lpstr>'GMIC_2020-Annu_SCDPT5'!SCDPT5_31ENDIN_7</vt:lpstr>
      <vt:lpstr>'GMIC_2020-Annu_SCDPT5'!SCDPT5_31ENDIN_8</vt:lpstr>
      <vt:lpstr>'GMIC_2020-Annu_SCDPT5'!SCDPT5_31ENDIN_9</vt:lpstr>
      <vt:lpstr>'GMIC_2020-Annu_SCDPT5'!SCDPT5_3800000_Range</vt:lpstr>
      <vt:lpstr>'GMIC_2020-Annu_SCDPT5'!SCDPT5_3800001_1</vt:lpstr>
      <vt:lpstr>'GMIC_2020-Annu_SCDPT5'!SCDPT5_3800001_10</vt:lpstr>
      <vt:lpstr>'GMIC_2020-Annu_SCDPT5'!SCDPT5_3800001_11</vt:lpstr>
      <vt:lpstr>'GMIC_2020-Annu_SCDPT5'!SCDPT5_3800001_12</vt:lpstr>
      <vt:lpstr>'GMIC_2020-Annu_SCDPT5'!SCDPT5_3800001_13</vt:lpstr>
      <vt:lpstr>'GMIC_2020-Annu_SCDPT5'!SCDPT5_3800001_14</vt:lpstr>
      <vt:lpstr>'GMIC_2020-Annu_SCDPT5'!SCDPT5_3800001_15</vt:lpstr>
      <vt:lpstr>'GMIC_2020-Annu_SCDPT5'!SCDPT5_3800001_16</vt:lpstr>
      <vt:lpstr>'GMIC_2020-Annu_SCDPT5'!SCDPT5_3800001_17</vt:lpstr>
      <vt:lpstr>'GMIC_2020-Annu_SCDPT5'!SCDPT5_3800001_18</vt:lpstr>
      <vt:lpstr>'GMIC_2020-Annu_SCDPT5'!SCDPT5_3800001_19</vt:lpstr>
      <vt:lpstr>'GMIC_2020-Annu_SCDPT5'!SCDPT5_3800001_2</vt:lpstr>
      <vt:lpstr>'GMIC_2020-Annu_SCDPT5'!SCDPT5_3800001_20</vt:lpstr>
      <vt:lpstr>'GMIC_2020-Annu_SCDPT5'!SCDPT5_3800001_21</vt:lpstr>
      <vt:lpstr>'GMIC_2020-Annu_SCDPT5'!SCDPT5_3800001_23</vt:lpstr>
      <vt:lpstr>'GMIC_2020-Annu_SCDPT5'!SCDPT5_3800001_24</vt:lpstr>
      <vt:lpstr>'GMIC_2020-Annu_SCDPT5'!SCDPT5_3800001_25</vt:lpstr>
      <vt:lpstr>'GMIC_2020-Annu_SCDPT5'!SCDPT5_3800001_26</vt:lpstr>
      <vt:lpstr>'GMIC_2020-Annu_SCDPT5'!SCDPT5_3800001_3</vt:lpstr>
      <vt:lpstr>'GMIC_2020-Annu_SCDPT5'!SCDPT5_3800001_4</vt:lpstr>
      <vt:lpstr>'GMIC_2020-Annu_SCDPT5'!SCDPT5_3800001_5</vt:lpstr>
      <vt:lpstr>'GMIC_2020-Annu_SCDPT5'!SCDPT5_3800001_6</vt:lpstr>
      <vt:lpstr>'GMIC_2020-Annu_SCDPT5'!SCDPT5_3800001_7</vt:lpstr>
      <vt:lpstr>'GMIC_2020-Annu_SCDPT5'!SCDPT5_3800001_8</vt:lpstr>
      <vt:lpstr>'GMIC_2020-Annu_SCDPT5'!SCDPT5_3800001_9</vt:lpstr>
      <vt:lpstr>'GMIC_2020-Annu_SCDPT5'!SCDPT5_3899999_10</vt:lpstr>
      <vt:lpstr>'GMIC_2020-Annu_SCDPT5'!SCDPT5_3899999_11</vt:lpstr>
      <vt:lpstr>'GMIC_2020-Annu_SCDPT5'!SCDPT5_3899999_12</vt:lpstr>
      <vt:lpstr>'GMIC_2020-Annu_SCDPT5'!SCDPT5_3899999_13</vt:lpstr>
      <vt:lpstr>'GMIC_2020-Annu_SCDPT5'!SCDPT5_3899999_14</vt:lpstr>
      <vt:lpstr>'GMIC_2020-Annu_SCDPT5'!SCDPT5_3899999_15</vt:lpstr>
      <vt:lpstr>'GMIC_2020-Annu_SCDPT5'!SCDPT5_3899999_16</vt:lpstr>
      <vt:lpstr>'GMIC_2020-Annu_SCDPT5'!SCDPT5_3899999_17</vt:lpstr>
      <vt:lpstr>'GMIC_2020-Annu_SCDPT5'!SCDPT5_3899999_18</vt:lpstr>
      <vt:lpstr>'GMIC_2020-Annu_SCDPT5'!SCDPT5_3899999_19</vt:lpstr>
      <vt:lpstr>'GMIC_2020-Annu_SCDPT5'!SCDPT5_3899999_20</vt:lpstr>
      <vt:lpstr>'GMIC_2020-Annu_SCDPT5'!SCDPT5_3899999_21</vt:lpstr>
      <vt:lpstr>'GMIC_2020-Annu_SCDPT5'!SCDPT5_3899999_8</vt:lpstr>
      <vt:lpstr>'GMIC_2020-Annu_SCDPT5'!SCDPT5_3899999_9</vt:lpstr>
      <vt:lpstr>'GMIC_2020-Annu_SCDPT5'!SCDPT5_38BEGIN_1</vt:lpstr>
      <vt:lpstr>'GMIC_2020-Annu_SCDPT5'!SCDPT5_38BEGIN_10</vt:lpstr>
      <vt:lpstr>'GMIC_2020-Annu_SCDPT5'!SCDPT5_38BEGIN_11</vt:lpstr>
      <vt:lpstr>'GMIC_2020-Annu_SCDPT5'!SCDPT5_38BEGIN_12</vt:lpstr>
      <vt:lpstr>'GMIC_2020-Annu_SCDPT5'!SCDPT5_38BEGIN_13</vt:lpstr>
      <vt:lpstr>'GMIC_2020-Annu_SCDPT5'!SCDPT5_38BEGIN_14</vt:lpstr>
      <vt:lpstr>'GMIC_2020-Annu_SCDPT5'!SCDPT5_38BEGIN_15</vt:lpstr>
      <vt:lpstr>'GMIC_2020-Annu_SCDPT5'!SCDPT5_38BEGIN_16</vt:lpstr>
      <vt:lpstr>'GMIC_2020-Annu_SCDPT5'!SCDPT5_38BEGIN_17</vt:lpstr>
      <vt:lpstr>'GMIC_2020-Annu_SCDPT5'!SCDPT5_38BEGIN_18</vt:lpstr>
      <vt:lpstr>'GMIC_2020-Annu_SCDPT5'!SCDPT5_38BEGIN_19</vt:lpstr>
      <vt:lpstr>'GMIC_2020-Annu_SCDPT5'!SCDPT5_38BEGIN_2</vt:lpstr>
      <vt:lpstr>'GMIC_2020-Annu_SCDPT5'!SCDPT5_38BEGIN_20</vt:lpstr>
      <vt:lpstr>'GMIC_2020-Annu_SCDPT5'!SCDPT5_38BEGIN_21</vt:lpstr>
      <vt:lpstr>'GMIC_2020-Annu_SCDPT5'!SCDPT5_38BEGIN_22</vt:lpstr>
      <vt:lpstr>'GMIC_2020-Annu_SCDPT5'!SCDPT5_38BEGIN_23</vt:lpstr>
      <vt:lpstr>'GMIC_2020-Annu_SCDPT5'!SCDPT5_38BEGIN_24</vt:lpstr>
      <vt:lpstr>'GMIC_2020-Annu_SCDPT5'!SCDPT5_38BEGIN_25</vt:lpstr>
      <vt:lpstr>'GMIC_2020-Annu_SCDPT5'!SCDPT5_38BEGIN_26</vt:lpstr>
      <vt:lpstr>'GMIC_2020-Annu_SCDPT5'!SCDPT5_38BEGIN_3</vt:lpstr>
      <vt:lpstr>'GMIC_2020-Annu_SCDPT5'!SCDPT5_38BEGIN_4</vt:lpstr>
      <vt:lpstr>'GMIC_2020-Annu_SCDPT5'!SCDPT5_38BEGIN_5</vt:lpstr>
      <vt:lpstr>'GMIC_2020-Annu_SCDPT5'!SCDPT5_38BEGIN_6</vt:lpstr>
      <vt:lpstr>'GMIC_2020-Annu_SCDPT5'!SCDPT5_38BEGIN_7</vt:lpstr>
      <vt:lpstr>'GMIC_2020-Annu_SCDPT5'!SCDPT5_38BEGIN_8</vt:lpstr>
      <vt:lpstr>'GMIC_2020-Annu_SCDPT5'!SCDPT5_38BEGIN_9</vt:lpstr>
      <vt:lpstr>'GMIC_2020-Annu_SCDPT5'!SCDPT5_38ENDIN_10</vt:lpstr>
      <vt:lpstr>'GMIC_2020-Annu_SCDPT5'!SCDPT5_38ENDIN_11</vt:lpstr>
      <vt:lpstr>'GMIC_2020-Annu_SCDPT5'!SCDPT5_38ENDIN_12</vt:lpstr>
      <vt:lpstr>'GMIC_2020-Annu_SCDPT5'!SCDPT5_38ENDIN_13</vt:lpstr>
      <vt:lpstr>'GMIC_2020-Annu_SCDPT5'!SCDPT5_38ENDIN_14</vt:lpstr>
      <vt:lpstr>'GMIC_2020-Annu_SCDPT5'!SCDPT5_38ENDIN_15</vt:lpstr>
      <vt:lpstr>'GMIC_2020-Annu_SCDPT5'!SCDPT5_38ENDIN_16</vt:lpstr>
      <vt:lpstr>'GMIC_2020-Annu_SCDPT5'!SCDPT5_38ENDIN_17</vt:lpstr>
      <vt:lpstr>'GMIC_2020-Annu_SCDPT5'!SCDPT5_38ENDIN_18</vt:lpstr>
      <vt:lpstr>'GMIC_2020-Annu_SCDPT5'!SCDPT5_38ENDIN_19</vt:lpstr>
      <vt:lpstr>'GMIC_2020-Annu_SCDPT5'!SCDPT5_38ENDIN_2</vt:lpstr>
      <vt:lpstr>'GMIC_2020-Annu_SCDPT5'!SCDPT5_38ENDIN_20</vt:lpstr>
      <vt:lpstr>'GMIC_2020-Annu_SCDPT5'!SCDPT5_38ENDIN_21</vt:lpstr>
      <vt:lpstr>'GMIC_2020-Annu_SCDPT5'!SCDPT5_38ENDIN_22</vt:lpstr>
      <vt:lpstr>'GMIC_2020-Annu_SCDPT5'!SCDPT5_38ENDIN_23</vt:lpstr>
      <vt:lpstr>'GMIC_2020-Annu_SCDPT5'!SCDPT5_38ENDIN_24</vt:lpstr>
      <vt:lpstr>'GMIC_2020-Annu_SCDPT5'!SCDPT5_38ENDIN_25</vt:lpstr>
      <vt:lpstr>'GMIC_2020-Annu_SCDPT5'!SCDPT5_38ENDIN_26</vt:lpstr>
      <vt:lpstr>'GMIC_2020-Annu_SCDPT5'!SCDPT5_38ENDIN_3</vt:lpstr>
      <vt:lpstr>'GMIC_2020-Annu_SCDPT5'!SCDPT5_38ENDIN_4</vt:lpstr>
      <vt:lpstr>'GMIC_2020-Annu_SCDPT5'!SCDPT5_38ENDIN_5</vt:lpstr>
      <vt:lpstr>'GMIC_2020-Annu_SCDPT5'!SCDPT5_38ENDIN_6</vt:lpstr>
      <vt:lpstr>'GMIC_2020-Annu_SCDPT5'!SCDPT5_38ENDIN_7</vt:lpstr>
      <vt:lpstr>'GMIC_2020-Annu_SCDPT5'!SCDPT5_38ENDIN_8</vt:lpstr>
      <vt:lpstr>'GMIC_2020-Annu_SCDPT5'!SCDPT5_38ENDIN_9</vt:lpstr>
      <vt:lpstr>'GMIC_2020-Annu_SCDPT5'!SCDPT5_4800000_Range</vt:lpstr>
      <vt:lpstr>'GMIC_2020-Annu_SCDPT5'!SCDPT5_4899999_10</vt:lpstr>
      <vt:lpstr>'GMIC_2020-Annu_SCDPT5'!SCDPT5_4899999_11</vt:lpstr>
      <vt:lpstr>'GMIC_2020-Annu_SCDPT5'!SCDPT5_4899999_12</vt:lpstr>
      <vt:lpstr>'GMIC_2020-Annu_SCDPT5'!SCDPT5_4899999_13</vt:lpstr>
      <vt:lpstr>'GMIC_2020-Annu_SCDPT5'!SCDPT5_4899999_14</vt:lpstr>
      <vt:lpstr>'GMIC_2020-Annu_SCDPT5'!SCDPT5_4899999_15</vt:lpstr>
      <vt:lpstr>'GMIC_2020-Annu_SCDPT5'!SCDPT5_4899999_16</vt:lpstr>
      <vt:lpstr>'GMIC_2020-Annu_SCDPT5'!SCDPT5_4899999_17</vt:lpstr>
      <vt:lpstr>'GMIC_2020-Annu_SCDPT5'!SCDPT5_4899999_18</vt:lpstr>
      <vt:lpstr>'GMIC_2020-Annu_SCDPT5'!SCDPT5_4899999_19</vt:lpstr>
      <vt:lpstr>'GMIC_2020-Annu_SCDPT5'!SCDPT5_4899999_20</vt:lpstr>
      <vt:lpstr>'GMIC_2020-Annu_SCDPT5'!SCDPT5_4899999_21</vt:lpstr>
      <vt:lpstr>'GMIC_2020-Annu_SCDPT5'!SCDPT5_4899999_8</vt:lpstr>
      <vt:lpstr>'GMIC_2020-Annu_SCDPT5'!SCDPT5_4899999_9</vt:lpstr>
      <vt:lpstr>'GMIC_2020-Annu_SCDPT5'!SCDPT5_48BEGIN_1</vt:lpstr>
      <vt:lpstr>'GMIC_2020-Annu_SCDPT5'!SCDPT5_48BEGIN_10</vt:lpstr>
      <vt:lpstr>'GMIC_2020-Annu_SCDPT5'!SCDPT5_48BEGIN_11</vt:lpstr>
      <vt:lpstr>'GMIC_2020-Annu_SCDPT5'!SCDPT5_48BEGIN_12</vt:lpstr>
      <vt:lpstr>'GMIC_2020-Annu_SCDPT5'!SCDPT5_48BEGIN_13</vt:lpstr>
      <vt:lpstr>'GMIC_2020-Annu_SCDPT5'!SCDPT5_48BEGIN_14</vt:lpstr>
      <vt:lpstr>'GMIC_2020-Annu_SCDPT5'!SCDPT5_48BEGIN_15</vt:lpstr>
      <vt:lpstr>'GMIC_2020-Annu_SCDPT5'!SCDPT5_48BEGIN_16</vt:lpstr>
      <vt:lpstr>'GMIC_2020-Annu_SCDPT5'!SCDPT5_48BEGIN_17</vt:lpstr>
      <vt:lpstr>'GMIC_2020-Annu_SCDPT5'!SCDPT5_48BEGIN_18</vt:lpstr>
      <vt:lpstr>'GMIC_2020-Annu_SCDPT5'!SCDPT5_48BEGIN_19</vt:lpstr>
      <vt:lpstr>'GMIC_2020-Annu_SCDPT5'!SCDPT5_48BEGIN_2</vt:lpstr>
      <vt:lpstr>'GMIC_2020-Annu_SCDPT5'!SCDPT5_48BEGIN_20</vt:lpstr>
      <vt:lpstr>'GMIC_2020-Annu_SCDPT5'!SCDPT5_48BEGIN_21</vt:lpstr>
      <vt:lpstr>'GMIC_2020-Annu_SCDPT5'!SCDPT5_48BEGIN_22</vt:lpstr>
      <vt:lpstr>'GMIC_2020-Annu_SCDPT5'!SCDPT5_48BEGIN_23</vt:lpstr>
      <vt:lpstr>'GMIC_2020-Annu_SCDPT5'!SCDPT5_48BEGIN_24</vt:lpstr>
      <vt:lpstr>'GMIC_2020-Annu_SCDPT5'!SCDPT5_48BEGIN_25</vt:lpstr>
      <vt:lpstr>'GMIC_2020-Annu_SCDPT5'!SCDPT5_48BEGIN_26</vt:lpstr>
      <vt:lpstr>'GMIC_2020-Annu_SCDPT5'!SCDPT5_48BEGIN_3</vt:lpstr>
      <vt:lpstr>'GMIC_2020-Annu_SCDPT5'!SCDPT5_48BEGIN_4</vt:lpstr>
      <vt:lpstr>'GMIC_2020-Annu_SCDPT5'!SCDPT5_48BEGIN_5</vt:lpstr>
      <vt:lpstr>'GMIC_2020-Annu_SCDPT5'!SCDPT5_48BEGIN_6</vt:lpstr>
      <vt:lpstr>'GMIC_2020-Annu_SCDPT5'!SCDPT5_48BEGIN_7</vt:lpstr>
      <vt:lpstr>'GMIC_2020-Annu_SCDPT5'!SCDPT5_48BEGIN_8</vt:lpstr>
      <vt:lpstr>'GMIC_2020-Annu_SCDPT5'!SCDPT5_48BEGIN_9</vt:lpstr>
      <vt:lpstr>'GMIC_2020-Annu_SCDPT5'!SCDPT5_48ENDIN_10</vt:lpstr>
      <vt:lpstr>'GMIC_2020-Annu_SCDPT5'!SCDPT5_48ENDIN_11</vt:lpstr>
      <vt:lpstr>'GMIC_2020-Annu_SCDPT5'!SCDPT5_48ENDIN_12</vt:lpstr>
      <vt:lpstr>'GMIC_2020-Annu_SCDPT5'!SCDPT5_48ENDIN_13</vt:lpstr>
      <vt:lpstr>'GMIC_2020-Annu_SCDPT5'!SCDPT5_48ENDIN_14</vt:lpstr>
      <vt:lpstr>'GMIC_2020-Annu_SCDPT5'!SCDPT5_48ENDIN_15</vt:lpstr>
      <vt:lpstr>'GMIC_2020-Annu_SCDPT5'!SCDPT5_48ENDIN_16</vt:lpstr>
      <vt:lpstr>'GMIC_2020-Annu_SCDPT5'!SCDPT5_48ENDIN_17</vt:lpstr>
      <vt:lpstr>'GMIC_2020-Annu_SCDPT5'!SCDPT5_48ENDIN_18</vt:lpstr>
      <vt:lpstr>'GMIC_2020-Annu_SCDPT5'!SCDPT5_48ENDIN_19</vt:lpstr>
      <vt:lpstr>'GMIC_2020-Annu_SCDPT5'!SCDPT5_48ENDIN_2</vt:lpstr>
      <vt:lpstr>'GMIC_2020-Annu_SCDPT5'!SCDPT5_48ENDIN_20</vt:lpstr>
      <vt:lpstr>'GMIC_2020-Annu_SCDPT5'!SCDPT5_48ENDIN_21</vt:lpstr>
      <vt:lpstr>'GMIC_2020-Annu_SCDPT5'!SCDPT5_48ENDIN_22</vt:lpstr>
      <vt:lpstr>'GMIC_2020-Annu_SCDPT5'!SCDPT5_48ENDIN_23</vt:lpstr>
      <vt:lpstr>'GMIC_2020-Annu_SCDPT5'!SCDPT5_48ENDIN_24</vt:lpstr>
      <vt:lpstr>'GMIC_2020-Annu_SCDPT5'!SCDPT5_48ENDIN_25</vt:lpstr>
      <vt:lpstr>'GMIC_2020-Annu_SCDPT5'!SCDPT5_48ENDIN_26</vt:lpstr>
      <vt:lpstr>'GMIC_2020-Annu_SCDPT5'!SCDPT5_48ENDIN_3</vt:lpstr>
      <vt:lpstr>'GMIC_2020-Annu_SCDPT5'!SCDPT5_48ENDIN_4</vt:lpstr>
      <vt:lpstr>'GMIC_2020-Annu_SCDPT5'!SCDPT5_48ENDIN_5</vt:lpstr>
      <vt:lpstr>'GMIC_2020-Annu_SCDPT5'!SCDPT5_48ENDIN_6</vt:lpstr>
      <vt:lpstr>'GMIC_2020-Annu_SCDPT5'!SCDPT5_48ENDIN_7</vt:lpstr>
      <vt:lpstr>'GMIC_2020-Annu_SCDPT5'!SCDPT5_48ENDIN_8</vt:lpstr>
      <vt:lpstr>'GMIC_2020-Annu_SCDPT5'!SCDPT5_48ENDIN_9</vt:lpstr>
      <vt:lpstr>'GMIC_2020-Annu_SCDPT5'!SCDPT5_5500000_Range</vt:lpstr>
      <vt:lpstr>'GMIC_2020-Annu_SCDPT5'!SCDPT5_5599999_10</vt:lpstr>
      <vt:lpstr>'GMIC_2020-Annu_SCDPT5'!SCDPT5_5599999_11</vt:lpstr>
      <vt:lpstr>'GMIC_2020-Annu_SCDPT5'!SCDPT5_5599999_12</vt:lpstr>
      <vt:lpstr>'GMIC_2020-Annu_SCDPT5'!SCDPT5_5599999_13</vt:lpstr>
      <vt:lpstr>'GMIC_2020-Annu_SCDPT5'!SCDPT5_5599999_14</vt:lpstr>
      <vt:lpstr>'GMIC_2020-Annu_SCDPT5'!SCDPT5_5599999_15</vt:lpstr>
      <vt:lpstr>'GMIC_2020-Annu_SCDPT5'!SCDPT5_5599999_16</vt:lpstr>
      <vt:lpstr>'GMIC_2020-Annu_SCDPT5'!SCDPT5_5599999_17</vt:lpstr>
      <vt:lpstr>'GMIC_2020-Annu_SCDPT5'!SCDPT5_5599999_18</vt:lpstr>
      <vt:lpstr>'GMIC_2020-Annu_SCDPT5'!SCDPT5_5599999_19</vt:lpstr>
      <vt:lpstr>'GMIC_2020-Annu_SCDPT5'!SCDPT5_5599999_20</vt:lpstr>
      <vt:lpstr>'GMIC_2020-Annu_SCDPT5'!SCDPT5_5599999_21</vt:lpstr>
      <vt:lpstr>'GMIC_2020-Annu_SCDPT5'!SCDPT5_5599999_8</vt:lpstr>
      <vt:lpstr>'GMIC_2020-Annu_SCDPT5'!SCDPT5_5599999_9</vt:lpstr>
      <vt:lpstr>'GMIC_2020-Annu_SCDPT5'!SCDPT5_55BEGIN_1</vt:lpstr>
      <vt:lpstr>'GMIC_2020-Annu_SCDPT5'!SCDPT5_55BEGIN_10</vt:lpstr>
      <vt:lpstr>'GMIC_2020-Annu_SCDPT5'!SCDPT5_55BEGIN_11</vt:lpstr>
      <vt:lpstr>'GMIC_2020-Annu_SCDPT5'!SCDPT5_55BEGIN_12</vt:lpstr>
      <vt:lpstr>'GMIC_2020-Annu_SCDPT5'!SCDPT5_55BEGIN_13</vt:lpstr>
      <vt:lpstr>'GMIC_2020-Annu_SCDPT5'!SCDPT5_55BEGIN_14</vt:lpstr>
      <vt:lpstr>'GMIC_2020-Annu_SCDPT5'!SCDPT5_55BEGIN_15</vt:lpstr>
      <vt:lpstr>'GMIC_2020-Annu_SCDPT5'!SCDPT5_55BEGIN_16</vt:lpstr>
      <vt:lpstr>'GMIC_2020-Annu_SCDPT5'!SCDPT5_55BEGIN_17</vt:lpstr>
      <vt:lpstr>'GMIC_2020-Annu_SCDPT5'!SCDPT5_55BEGIN_18</vt:lpstr>
      <vt:lpstr>'GMIC_2020-Annu_SCDPT5'!SCDPT5_55BEGIN_19</vt:lpstr>
      <vt:lpstr>'GMIC_2020-Annu_SCDPT5'!SCDPT5_55BEGIN_2</vt:lpstr>
      <vt:lpstr>'GMIC_2020-Annu_SCDPT5'!SCDPT5_55BEGIN_20</vt:lpstr>
      <vt:lpstr>'GMIC_2020-Annu_SCDPT5'!SCDPT5_55BEGIN_21</vt:lpstr>
      <vt:lpstr>'GMIC_2020-Annu_SCDPT5'!SCDPT5_55BEGIN_22</vt:lpstr>
      <vt:lpstr>'GMIC_2020-Annu_SCDPT5'!SCDPT5_55BEGIN_23</vt:lpstr>
      <vt:lpstr>'GMIC_2020-Annu_SCDPT5'!SCDPT5_55BEGIN_24</vt:lpstr>
      <vt:lpstr>'GMIC_2020-Annu_SCDPT5'!SCDPT5_55BEGIN_25</vt:lpstr>
      <vt:lpstr>'GMIC_2020-Annu_SCDPT5'!SCDPT5_55BEGIN_26</vt:lpstr>
      <vt:lpstr>'GMIC_2020-Annu_SCDPT5'!SCDPT5_55BEGIN_3</vt:lpstr>
      <vt:lpstr>'GMIC_2020-Annu_SCDPT5'!SCDPT5_55BEGIN_4</vt:lpstr>
      <vt:lpstr>'GMIC_2020-Annu_SCDPT5'!SCDPT5_55BEGIN_5</vt:lpstr>
      <vt:lpstr>'GMIC_2020-Annu_SCDPT5'!SCDPT5_55BEGIN_6</vt:lpstr>
      <vt:lpstr>'GMIC_2020-Annu_SCDPT5'!SCDPT5_55BEGIN_7</vt:lpstr>
      <vt:lpstr>'GMIC_2020-Annu_SCDPT5'!SCDPT5_55BEGIN_8</vt:lpstr>
      <vt:lpstr>'GMIC_2020-Annu_SCDPT5'!SCDPT5_55BEGIN_9</vt:lpstr>
      <vt:lpstr>'GMIC_2020-Annu_SCDPT5'!SCDPT5_55ENDIN_10</vt:lpstr>
      <vt:lpstr>'GMIC_2020-Annu_SCDPT5'!SCDPT5_55ENDIN_11</vt:lpstr>
      <vt:lpstr>'GMIC_2020-Annu_SCDPT5'!SCDPT5_55ENDIN_12</vt:lpstr>
      <vt:lpstr>'GMIC_2020-Annu_SCDPT5'!SCDPT5_55ENDIN_13</vt:lpstr>
      <vt:lpstr>'GMIC_2020-Annu_SCDPT5'!SCDPT5_55ENDIN_14</vt:lpstr>
      <vt:lpstr>'GMIC_2020-Annu_SCDPT5'!SCDPT5_55ENDIN_15</vt:lpstr>
      <vt:lpstr>'GMIC_2020-Annu_SCDPT5'!SCDPT5_55ENDIN_16</vt:lpstr>
      <vt:lpstr>'GMIC_2020-Annu_SCDPT5'!SCDPT5_55ENDIN_17</vt:lpstr>
      <vt:lpstr>'GMIC_2020-Annu_SCDPT5'!SCDPT5_55ENDIN_18</vt:lpstr>
      <vt:lpstr>'GMIC_2020-Annu_SCDPT5'!SCDPT5_55ENDIN_19</vt:lpstr>
      <vt:lpstr>'GMIC_2020-Annu_SCDPT5'!SCDPT5_55ENDIN_2</vt:lpstr>
      <vt:lpstr>'GMIC_2020-Annu_SCDPT5'!SCDPT5_55ENDIN_20</vt:lpstr>
      <vt:lpstr>'GMIC_2020-Annu_SCDPT5'!SCDPT5_55ENDIN_21</vt:lpstr>
      <vt:lpstr>'GMIC_2020-Annu_SCDPT5'!SCDPT5_55ENDIN_22</vt:lpstr>
      <vt:lpstr>'GMIC_2020-Annu_SCDPT5'!SCDPT5_55ENDIN_23</vt:lpstr>
      <vt:lpstr>'GMIC_2020-Annu_SCDPT5'!SCDPT5_55ENDIN_24</vt:lpstr>
      <vt:lpstr>'GMIC_2020-Annu_SCDPT5'!SCDPT5_55ENDIN_25</vt:lpstr>
      <vt:lpstr>'GMIC_2020-Annu_SCDPT5'!SCDPT5_55ENDIN_26</vt:lpstr>
      <vt:lpstr>'GMIC_2020-Annu_SCDPT5'!SCDPT5_55ENDIN_3</vt:lpstr>
      <vt:lpstr>'GMIC_2020-Annu_SCDPT5'!SCDPT5_55ENDIN_4</vt:lpstr>
      <vt:lpstr>'GMIC_2020-Annu_SCDPT5'!SCDPT5_55ENDIN_5</vt:lpstr>
      <vt:lpstr>'GMIC_2020-Annu_SCDPT5'!SCDPT5_55ENDIN_6</vt:lpstr>
      <vt:lpstr>'GMIC_2020-Annu_SCDPT5'!SCDPT5_55ENDIN_7</vt:lpstr>
      <vt:lpstr>'GMIC_2020-Annu_SCDPT5'!SCDPT5_55ENDIN_8</vt:lpstr>
      <vt:lpstr>'GMIC_2020-Annu_SCDPT5'!SCDPT5_55ENDIN_9</vt:lpstr>
      <vt:lpstr>'GMIC_2020-Annu_SCDPT5'!SCDPT5_8000000_Range</vt:lpstr>
      <vt:lpstr>'GMIC_2020-Annu_SCDPT5'!SCDPT5_8099999_10</vt:lpstr>
      <vt:lpstr>'GMIC_2020-Annu_SCDPT5'!SCDPT5_8099999_11</vt:lpstr>
      <vt:lpstr>'GMIC_2020-Annu_SCDPT5'!SCDPT5_8099999_12</vt:lpstr>
      <vt:lpstr>'GMIC_2020-Annu_SCDPT5'!SCDPT5_8099999_13</vt:lpstr>
      <vt:lpstr>'GMIC_2020-Annu_SCDPT5'!SCDPT5_8099999_14</vt:lpstr>
      <vt:lpstr>'GMIC_2020-Annu_SCDPT5'!SCDPT5_8099999_15</vt:lpstr>
      <vt:lpstr>'GMIC_2020-Annu_SCDPT5'!SCDPT5_8099999_16</vt:lpstr>
      <vt:lpstr>'GMIC_2020-Annu_SCDPT5'!SCDPT5_8099999_17</vt:lpstr>
      <vt:lpstr>'GMIC_2020-Annu_SCDPT5'!SCDPT5_8099999_18</vt:lpstr>
      <vt:lpstr>'GMIC_2020-Annu_SCDPT5'!SCDPT5_8099999_19</vt:lpstr>
      <vt:lpstr>'GMIC_2020-Annu_SCDPT5'!SCDPT5_8099999_20</vt:lpstr>
      <vt:lpstr>'GMIC_2020-Annu_SCDPT5'!SCDPT5_8099999_21</vt:lpstr>
      <vt:lpstr>'GMIC_2020-Annu_SCDPT5'!SCDPT5_8099999_9</vt:lpstr>
      <vt:lpstr>'GMIC_2020-Annu_SCDPT5'!SCDPT5_80BEGIN_1</vt:lpstr>
      <vt:lpstr>'GMIC_2020-Annu_SCDPT5'!SCDPT5_80BEGIN_10</vt:lpstr>
      <vt:lpstr>'GMIC_2020-Annu_SCDPT5'!SCDPT5_80BEGIN_11</vt:lpstr>
      <vt:lpstr>'GMIC_2020-Annu_SCDPT5'!SCDPT5_80BEGIN_12</vt:lpstr>
      <vt:lpstr>'GMIC_2020-Annu_SCDPT5'!SCDPT5_80BEGIN_13</vt:lpstr>
      <vt:lpstr>'GMIC_2020-Annu_SCDPT5'!SCDPT5_80BEGIN_14</vt:lpstr>
      <vt:lpstr>'GMIC_2020-Annu_SCDPT5'!SCDPT5_80BEGIN_15</vt:lpstr>
      <vt:lpstr>'GMIC_2020-Annu_SCDPT5'!SCDPT5_80BEGIN_16</vt:lpstr>
      <vt:lpstr>'GMIC_2020-Annu_SCDPT5'!SCDPT5_80BEGIN_17</vt:lpstr>
      <vt:lpstr>'GMIC_2020-Annu_SCDPT5'!SCDPT5_80BEGIN_18</vt:lpstr>
      <vt:lpstr>'GMIC_2020-Annu_SCDPT5'!SCDPT5_80BEGIN_19</vt:lpstr>
      <vt:lpstr>'GMIC_2020-Annu_SCDPT5'!SCDPT5_80BEGIN_2</vt:lpstr>
      <vt:lpstr>'GMIC_2020-Annu_SCDPT5'!SCDPT5_80BEGIN_20</vt:lpstr>
      <vt:lpstr>'GMIC_2020-Annu_SCDPT5'!SCDPT5_80BEGIN_21</vt:lpstr>
      <vt:lpstr>'GMIC_2020-Annu_SCDPT5'!SCDPT5_80BEGIN_22</vt:lpstr>
      <vt:lpstr>'GMIC_2020-Annu_SCDPT5'!SCDPT5_80BEGIN_23</vt:lpstr>
      <vt:lpstr>'GMIC_2020-Annu_SCDPT5'!SCDPT5_80BEGIN_24</vt:lpstr>
      <vt:lpstr>'GMIC_2020-Annu_SCDPT5'!SCDPT5_80BEGIN_25</vt:lpstr>
      <vt:lpstr>'GMIC_2020-Annu_SCDPT5'!SCDPT5_80BEGIN_26</vt:lpstr>
      <vt:lpstr>'GMIC_2020-Annu_SCDPT5'!SCDPT5_80BEGIN_3</vt:lpstr>
      <vt:lpstr>'GMIC_2020-Annu_SCDPT5'!SCDPT5_80BEGIN_4</vt:lpstr>
      <vt:lpstr>'GMIC_2020-Annu_SCDPT5'!SCDPT5_80BEGIN_5</vt:lpstr>
      <vt:lpstr>'GMIC_2020-Annu_SCDPT5'!SCDPT5_80BEGIN_6</vt:lpstr>
      <vt:lpstr>'GMIC_2020-Annu_SCDPT5'!SCDPT5_80BEGIN_7</vt:lpstr>
      <vt:lpstr>'GMIC_2020-Annu_SCDPT5'!SCDPT5_80BEGIN_8</vt:lpstr>
      <vt:lpstr>'GMIC_2020-Annu_SCDPT5'!SCDPT5_80BEGIN_9</vt:lpstr>
      <vt:lpstr>'GMIC_2020-Annu_SCDPT5'!SCDPT5_80ENDIN_10</vt:lpstr>
      <vt:lpstr>'GMIC_2020-Annu_SCDPT5'!SCDPT5_80ENDIN_11</vt:lpstr>
      <vt:lpstr>'GMIC_2020-Annu_SCDPT5'!SCDPT5_80ENDIN_12</vt:lpstr>
      <vt:lpstr>'GMIC_2020-Annu_SCDPT5'!SCDPT5_80ENDIN_13</vt:lpstr>
      <vt:lpstr>'GMIC_2020-Annu_SCDPT5'!SCDPT5_80ENDIN_14</vt:lpstr>
      <vt:lpstr>'GMIC_2020-Annu_SCDPT5'!SCDPT5_80ENDIN_15</vt:lpstr>
      <vt:lpstr>'GMIC_2020-Annu_SCDPT5'!SCDPT5_80ENDIN_16</vt:lpstr>
      <vt:lpstr>'GMIC_2020-Annu_SCDPT5'!SCDPT5_80ENDIN_17</vt:lpstr>
      <vt:lpstr>'GMIC_2020-Annu_SCDPT5'!SCDPT5_80ENDIN_18</vt:lpstr>
      <vt:lpstr>'GMIC_2020-Annu_SCDPT5'!SCDPT5_80ENDIN_19</vt:lpstr>
      <vt:lpstr>'GMIC_2020-Annu_SCDPT5'!SCDPT5_80ENDIN_2</vt:lpstr>
      <vt:lpstr>'GMIC_2020-Annu_SCDPT5'!SCDPT5_80ENDIN_20</vt:lpstr>
      <vt:lpstr>'GMIC_2020-Annu_SCDPT5'!SCDPT5_80ENDIN_21</vt:lpstr>
      <vt:lpstr>'GMIC_2020-Annu_SCDPT5'!SCDPT5_80ENDIN_22</vt:lpstr>
      <vt:lpstr>'GMIC_2020-Annu_SCDPT5'!SCDPT5_80ENDIN_23</vt:lpstr>
      <vt:lpstr>'GMIC_2020-Annu_SCDPT5'!SCDPT5_80ENDIN_24</vt:lpstr>
      <vt:lpstr>'GMIC_2020-Annu_SCDPT5'!SCDPT5_80ENDIN_25</vt:lpstr>
      <vt:lpstr>'GMIC_2020-Annu_SCDPT5'!SCDPT5_80ENDIN_26</vt:lpstr>
      <vt:lpstr>'GMIC_2020-Annu_SCDPT5'!SCDPT5_80ENDIN_3</vt:lpstr>
      <vt:lpstr>'GMIC_2020-Annu_SCDPT5'!SCDPT5_80ENDIN_4</vt:lpstr>
      <vt:lpstr>'GMIC_2020-Annu_SCDPT5'!SCDPT5_80ENDIN_5</vt:lpstr>
      <vt:lpstr>'GMIC_2020-Annu_SCDPT5'!SCDPT5_80ENDIN_6</vt:lpstr>
      <vt:lpstr>'GMIC_2020-Annu_SCDPT5'!SCDPT5_80ENDIN_7</vt:lpstr>
      <vt:lpstr>'GMIC_2020-Annu_SCDPT5'!SCDPT5_80ENDIN_8</vt:lpstr>
      <vt:lpstr>'GMIC_2020-Annu_SCDPT5'!SCDPT5_80ENDIN_9</vt:lpstr>
      <vt:lpstr>'GMIC_2020-Annu_SCDPT5'!SCDPT5_8200000_Range</vt:lpstr>
      <vt:lpstr>'GMIC_2020-Annu_SCDPT5'!SCDPT5_8299999_10</vt:lpstr>
      <vt:lpstr>'GMIC_2020-Annu_SCDPT5'!SCDPT5_8299999_11</vt:lpstr>
      <vt:lpstr>'GMIC_2020-Annu_SCDPT5'!SCDPT5_8299999_12</vt:lpstr>
      <vt:lpstr>'GMIC_2020-Annu_SCDPT5'!SCDPT5_8299999_13</vt:lpstr>
      <vt:lpstr>'GMIC_2020-Annu_SCDPT5'!SCDPT5_8299999_14</vt:lpstr>
      <vt:lpstr>'GMIC_2020-Annu_SCDPT5'!SCDPT5_8299999_15</vt:lpstr>
      <vt:lpstr>'GMIC_2020-Annu_SCDPT5'!SCDPT5_8299999_16</vt:lpstr>
      <vt:lpstr>'GMIC_2020-Annu_SCDPT5'!SCDPT5_8299999_17</vt:lpstr>
      <vt:lpstr>'GMIC_2020-Annu_SCDPT5'!SCDPT5_8299999_18</vt:lpstr>
      <vt:lpstr>'GMIC_2020-Annu_SCDPT5'!SCDPT5_8299999_19</vt:lpstr>
      <vt:lpstr>'GMIC_2020-Annu_SCDPT5'!SCDPT5_8299999_20</vt:lpstr>
      <vt:lpstr>'GMIC_2020-Annu_SCDPT5'!SCDPT5_8299999_21</vt:lpstr>
      <vt:lpstr>'GMIC_2020-Annu_SCDPT5'!SCDPT5_8299999_8</vt:lpstr>
      <vt:lpstr>'GMIC_2020-Annu_SCDPT5'!SCDPT5_8299999_9</vt:lpstr>
      <vt:lpstr>'GMIC_2020-Annu_SCDPT5'!SCDPT5_82BEGIN_1</vt:lpstr>
      <vt:lpstr>'GMIC_2020-Annu_SCDPT5'!SCDPT5_82BEGIN_10</vt:lpstr>
      <vt:lpstr>'GMIC_2020-Annu_SCDPT5'!SCDPT5_82BEGIN_11</vt:lpstr>
      <vt:lpstr>'GMIC_2020-Annu_SCDPT5'!SCDPT5_82BEGIN_12</vt:lpstr>
      <vt:lpstr>'GMIC_2020-Annu_SCDPT5'!SCDPT5_82BEGIN_13</vt:lpstr>
      <vt:lpstr>'GMIC_2020-Annu_SCDPT5'!SCDPT5_82BEGIN_14</vt:lpstr>
      <vt:lpstr>'GMIC_2020-Annu_SCDPT5'!SCDPT5_82BEGIN_15</vt:lpstr>
      <vt:lpstr>'GMIC_2020-Annu_SCDPT5'!SCDPT5_82BEGIN_16</vt:lpstr>
      <vt:lpstr>'GMIC_2020-Annu_SCDPT5'!SCDPT5_82BEGIN_17</vt:lpstr>
      <vt:lpstr>'GMIC_2020-Annu_SCDPT5'!SCDPT5_82BEGIN_18</vt:lpstr>
      <vt:lpstr>'GMIC_2020-Annu_SCDPT5'!SCDPT5_82BEGIN_19</vt:lpstr>
      <vt:lpstr>'GMIC_2020-Annu_SCDPT5'!SCDPT5_82BEGIN_2</vt:lpstr>
      <vt:lpstr>'GMIC_2020-Annu_SCDPT5'!SCDPT5_82BEGIN_20</vt:lpstr>
      <vt:lpstr>'GMIC_2020-Annu_SCDPT5'!SCDPT5_82BEGIN_21</vt:lpstr>
      <vt:lpstr>'GMIC_2020-Annu_SCDPT5'!SCDPT5_82BEGIN_22</vt:lpstr>
      <vt:lpstr>'GMIC_2020-Annu_SCDPT5'!SCDPT5_82BEGIN_23</vt:lpstr>
      <vt:lpstr>'GMIC_2020-Annu_SCDPT5'!SCDPT5_82BEGIN_24</vt:lpstr>
      <vt:lpstr>'GMIC_2020-Annu_SCDPT5'!SCDPT5_82BEGIN_25</vt:lpstr>
      <vt:lpstr>'GMIC_2020-Annu_SCDPT5'!SCDPT5_82BEGIN_26</vt:lpstr>
      <vt:lpstr>'GMIC_2020-Annu_SCDPT5'!SCDPT5_82BEGIN_3</vt:lpstr>
      <vt:lpstr>'GMIC_2020-Annu_SCDPT5'!SCDPT5_82BEGIN_4</vt:lpstr>
      <vt:lpstr>'GMIC_2020-Annu_SCDPT5'!SCDPT5_82BEGIN_5</vt:lpstr>
      <vt:lpstr>'GMIC_2020-Annu_SCDPT5'!SCDPT5_82BEGIN_6</vt:lpstr>
      <vt:lpstr>'GMIC_2020-Annu_SCDPT5'!SCDPT5_82BEGIN_7</vt:lpstr>
      <vt:lpstr>'GMIC_2020-Annu_SCDPT5'!SCDPT5_82BEGIN_8</vt:lpstr>
      <vt:lpstr>'GMIC_2020-Annu_SCDPT5'!SCDPT5_82BEGIN_9</vt:lpstr>
      <vt:lpstr>'GMIC_2020-Annu_SCDPT5'!SCDPT5_82ENDIN_10</vt:lpstr>
      <vt:lpstr>'GMIC_2020-Annu_SCDPT5'!SCDPT5_82ENDIN_11</vt:lpstr>
      <vt:lpstr>'GMIC_2020-Annu_SCDPT5'!SCDPT5_82ENDIN_12</vt:lpstr>
      <vt:lpstr>'GMIC_2020-Annu_SCDPT5'!SCDPT5_82ENDIN_13</vt:lpstr>
      <vt:lpstr>'GMIC_2020-Annu_SCDPT5'!SCDPT5_82ENDIN_14</vt:lpstr>
      <vt:lpstr>'GMIC_2020-Annu_SCDPT5'!SCDPT5_82ENDIN_15</vt:lpstr>
      <vt:lpstr>'GMIC_2020-Annu_SCDPT5'!SCDPT5_82ENDIN_16</vt:lpstr>
      <vt:lpstr>'GMIC_2020-Annu_SCDPT5'!SCDPT5_82ENDIN_17</vt:lpstr>
      <vt:lpstr>'GMIC_2020-Annu_SCDPT5'!SCDPT5_82ENDIN_18</vt:lpstr>
      <vt:lpstr>'GMIC_2020-Annu_SCDPT5'!SCDPT5_82ENDIN_19</vt:lpstr>
      <vt:lpstr>'GMIC_2020-Annu_SCDPT5'!SCDPT5_82ENDIN_2</vt:lpstr>
      <vt:lpstr>'GMIC_2020-Annu_SCDPT5'!SCDPT5_82ENDIN_20</vt:lpstr>
      <vt:lpstr>'GMIC_2020-Annu_SCDPT5'!SCDPT5_82ENDIN_21</vt:lpstr>
      <vt:lpstr>'GMIC_2020-Annu_SCDPT5'!SCDPT5_82ENDIN_22</vt:lpstr>
      <vt:lpstr>'GMIC_2020-Annu_SCDPT5'!SCDPT5_82ENDIN_23</vt:lpstr>
      <vt:lpstr>'GMIC_2020-Annu_SCDPT5'!SCDPT5_82ENDIN_24</vt:lpstr>
      <vt:lpstr>'GMIC_2020-Annu_SCDPT5'!SCDPT5_82ENDIN_25</vt:lpstr>
      <vt:lpstr>'GMIC_2020-Annu_SCDPT5'!SCDPT5_82ENDIN_26</vt:lpstr>
      <vt:lpstr>'GMIC_2020-Annu_SCDPT5'!SCDPT5_82ENDIN_3</vt:lpstr>
      <vt:lpstr>'GMIC_2020-Annu_SCDPT5'!SCDPT5_82ENDIN_4</vt:lpstr>
      <vt:lpstr>'GMIC_2020-Annu_SCDPT5'!SCDPT5_82ENDIN_5</vt:lpstr>
      <vt:lpstr>'GMIC_2020-Annu_SCDPT5'!SCDPT5_82ENDIN_6</vt:lpstr>
      <vt:lpstr>'GMIC_2020-Annu_SCDPT5'!SCDPT5_82ENDIN_7</vt:lpstr>
      <vt:lpstr>'GMIC_2020-Annu_SCDPT5'!SCDPT5_82ENDIN_8</vt:lpstr>
      <vt:lpstr>'GMIC_2020-Annu_SCDPT5'!SCDPT5_82ENDIN_9</vt:lpstr>
      <vt:lpstr>'GMIC_2020-Annu_SCDPT5'!SCDPT5_8399998_10</vt:lpstr>
      <vt:lpstr>'GMIC_2020-Annu_SCDPT5'!SCDPT5_8399998_11</vt:lpstr>
      <vt:lpstr>'GMIC_2020-Annu_SCDPT5'!SCDPT5_8399998_12</vt:lpstr>
      <vt:lpstr>'GMIC_2020-Annu_SCDPT5'!SCDPT5_8399998_13</vt:lpstr>
      <vt:lpstr>'GMIC_2020-Annu_SCDPT5'!SCDPT5_8399998_14</vt:lpstr>
      <vt:lpstr>'GMIC_2020-Annu_SCDPT5'!SCDPT5_8399998_15</vt:lpstr>
      <vt:lpstr>'GMIC_2020-Annu_SCDPT5'!SCDPT5_8399998_16</vt:lpstr>
      <vt:lpstr>'GMIC_2020-Annu_SCDPT5'!SCDPT5_8399998_17</vt:lpstr>
      <vt:lpstr>'GMIC_2020-Annu_SCDPT5'!SCDPT5_8399998_18</vt:lpstr>
      <vt:lpstr>'GMIC_2020-Annu_SCDPT5'!SCDPT5_8399998_19</vt:lpstr>
      <vt:lpstr>'GMIC_2020-Annu_SCDPT5'!SCDPT5_8399998_20</vt:lpstr>
      <vt:lpstr>'GMIC_2020-Annu_SCDPT5'!SCDPT5_8399998_21</vt:lpstr>
      <vt:lpstr>'GMIC_2020-Annu_SCDPT5'!SCDPT5_8399998_8</vt:lpstr>
      <vt:lpstr>'GMIC_2020-Annu_SCDPT5'!SCDPT5_8399998_9</vt:lpstr>
      <vt:lpstr>'GMIC_2020-Annu_SCDPT5'!SCDPT5_8400000_Range</vt:lpstr>
      <vt:lpstr>'GMIC_2020-Annu_SCDPT5'!SCDPT5_8499999_10</vt:lpstr>
      <vt:lpstr>'GMIC_2020-Annu_SCDPT5'!SCDPT5_8499999_11</vt:lpstr>
      <vt:lpstr>'GMIC_2020-Annu_SCDPT5'!SCDPT5_8499999_12</vt:lpstr>
      <vt:lpstr>'GMIC_2020-Annu_SCDPT5'!SCDPT5_8499999_13</vt:lpstr>
      <vt:lpstr>'GMIC_2020-Annu_SCDPT5'!SCDPT5_8499999_14</vt:lpstr>
      <vt:lpstr>'GMIC_2020-Annu_SCDPT5'!SCDPT5_8499999_15</vt:lpstr>
      <vt:lpstr>'GMIC_2020-Annu_SCDPT5'!SCDPT5_8499999_16</vt:lpstr>
      <vt:lpstr>'GMIC_2020-Annu_SCDPT5'!SCDPT5_8499999_17</vt:lpstr>
      <vt:lpstr>'GMIC_2020-Annu_SCDPT5'!SCDPT5_8499999_18</vt:lpstr>
      <vt:lpstr>'GMIC_2020-Annu_SCDPT5'!SCDPT5_8499999_19</vt:lpstr>
      <vt:lpstr>'GMIC_2020-Annu_SCDPT5'!SCDPT5_8499999_20</vt:lpstr>
      <vt:lpstr>'GMIC_2020-Annu_SCDPT5'!SCDPT5_8499999_21</vt:lpstr>
      <vt:lpstr>'GMIC_2020-Annu_SCDPT5'!SCDPT5_8499999_9</vt:lpstr>
      <vt:lpstr>'GMIC_2020-Annu_SCDPT5'!SCDPT5_84BEGIN_1</vt:lpstr>
      <vt:lpstr>'GMIC_2020-Annu_SCDPT5'!SCDPT5_84BEGIN_10</vt:lpstr>
      <vt:lpstr>'GMIC_2020-Annu_SCDPT5'!SCDPT5_84BEGIN_11</vt:lpstr>
      <vt:lpstr>'GMIC_2020-Annu_SCDPT5'!SCDPT5_84BEGIN_12</vt:lpstr>
      <vt:lpstr>'GMIC_2020-Annu_SCDPT5'!SCDPT5_84BEGIN_13</vt:lpstr>
      <vt:lpstr>'GMIC_2020-Annu_SCDPT5'!SCDPT5_84BEGIN_14</vt:lpstr>
      <vt:lpstr>'GMIC_2020-Annu_SCDPT5'!SCDPT5_84BEGIN_15</vt:lpstr>
      <vt:lpstr>'GMIC_2020-Annu_SCDPT5'!SCDPT5_84BEGIN_16</vt:lpstr>
      <vt:lpstr>'GMIC_2020-Annu_SCDPT5'!SCDPT5_84BEGIN_17</vt:lpstr>
      <vt:lpstr>'GMIC_2020-Annu_SCDPT5'!SCDPT5_84BEGIN_18</vt:lpstr>
      <vt:lpstr>'GMIC_2020-Annu_SCDPT5'!SCDPT5_84BEGIN_19</vt:lpstr>
      <vt:lpstr>'GMIC_2020-Annu_SCDPT5'!SCDPT5_84BEGIN_2</vt:lpstr>
      <vt:lpstr>'GMIC_2020-Annu_SCDPT5'!SCDPT5_84BEGIN_20</vt:lpstr>
      <vt:lpstr>'GMIC_2020-Annu_SCDPT5'!SCDPT5_84BEGIN_21</vt:lpstr>
      <vt:lpstr>'GMIC_2020-Annu_SCDPT5'!SCDPT5_84BEGIN_22</vt:lpstr>
      <vt:lpstr>'GMIC_2020-Annu_SCDPT5'!SCDPT5_84BEGIN_23</vt:lpstr>
      <vt:lpstr>'GMIC_2020-Annu_SCDPT5'!SCDPT5_84BEGIN_24</vt:lpstr>
      <vt:lpstr>'GMIC_2020-Annu_SCDPT5'!SCDPT5_84BEGIN_25</vt:lpstr>
      <vt:lpstr>'GMIC_2020-Annu_SCDPT5'!SCDPT5_84BEGIN_26</vt:lpstr>
      <vt:lpstr>'GMIC_2020-Annu_SCDPT5'!SCDPT5_84BEGIN_3</vt:lpstr>
      <vt:lpstr>'GMIC_2020-Annu_SCDPT5'!SCDPT5_84BEGIN_4</vt:lpstr>
      <vt:lpstr>'GMIC_2020-Annu_SCDPT5'!SCDPT5_84BEGIN_5</vt:lpstr>
      <vt:lpstr>'GMIC_2020-Annu_SCDPT5'!SCDPT5_84BEGIN_6</vt:lpstr>
      <vt:lpstr>'GMIC_2020-Annu_SCDPT5'!SCDPT5_84BEGIN_7</vt:lpstr>
      <vt:lpstr>'GMIC_2020-Annu_SCDPT5'!SCDPT5_84BEGIN_8</vt:lpstr>
      <vt:lpstr>'GMIC_2020-Annu_SCDPT5'!SCDPT5_84BEGIN_9</vt:lpstr>
      <vt:lpstr>'GMIC_2020-Annu_SCDPT5'!SCDPT5_84ENDIN_10</vt:lpstr>
      <vt:lpstr>'GMIC_2020-Annu_SCDPT5'!SCDPT5_84ENDIN_11</vt:lpstr>
      <vt:lpstr>'GMIC_2020-Annu_SCDPT5'!SCDPT5_84ENDIN_12</vt:lpstr>
      <vt:lpstr>'GMIC_2020-Annu_SCDPT5'!SCDPT5_84ENDIN_13</vt:lpstr>
      <vt:lpstr>'GMIC_2020-Annu_SCDPT5'!SCDPT5_84ENDIN_14</vt:lpstr>
      <vt:lpstr>'GMIC_2020-Annu_SCDPT5'!SCDPT5_84ENDIN_15</vt:lpstr>
      <vt:lpstr>'GMIC_2020-Annu_SCDPT5'!SCDPT5_84ENDIN_16</vt:lpstr>
      <vt:lpstr>'GMIC_2020-Annu_SCDPT5'!SCDPT5_84ENDIN_17</vt:lpstr>
      <vt:lpstr>'GMIC_2020-Annu_SCDPT5'!SCDPT5_84ENDIN_18</vt:lpstr>
      <vt:lpstr>'GMIC_2020-Annu_SCDPT5'!SCDPT5_84ENDIN_19</vt:lpstr>
      <vt:lpstr>'GMIC_2020-Annu_SCDPT5'!SCDPT5_84ENDIN_2</vt:lpstr>
      <vt:lpstr>'GMIC_2020-Annu_SCDPT5'!SCDPT5_84ENDIN_20</vt:lpstr>
      <vt:lpstr>'GMIC_2020-Annu_SCDPT5'!SCDPT5_84ENDIN_21</vt:lpstr>
      <vt:lpstr>'GMIC_2020-Annu_SCDPT5'!SCDPT5_84ENDIN_22</vt:lpstr>
      <vt:lpstr>'GMIC_2020-Annu_SCDPT5'!SCDPT5_84ENDIN_23</vt:lpstr>
      <vt:lpstr>'GMIC_2020-Annu_SCDPT5'!SCDPT5_84ENDIN_24</vt:lpstr>
      <vt:lpstr>'GMIC_2020-Annu_SCDPT5'!SCDPT5_84ENDIN_25</vt:lpstr>
      <vt:lpstr>'GMIC_2020-Annu_SCDPT5'!SCDPT5_84ENDIN_26</vt:lpstr>
      <vt:lpstr>'GMIC_2020-Annu_SCDPT5'!SCDPT5_84ENDIN_3</vt:lpstr>
      <vt:lpstr>'GMIC_2020-Annu_SCDPT5'!SCDPT5_84ENDIN_4</vt:lpstr>
      <vt:lpstr>'GMIC_2020-Annu_SCDPT5'!SCDPT5_84ENDIN_5</vt:lpstr>
      <vt:lpstr>'GMIC_2020-Annu_SCDPT5'!SCDPT5_84ENDIN_6</vt:lpstr>
      <vt:lpstr>'GMIC_2020-Annu_SCDPT5'!SCDPT5_84ENDIN_7</vt:lpstr>
      <vt:lpstr>'GMIC_2020-Annu_SCDPT5'!SCDPT5_84ENDIN_8</vt:lpstr>
      <vt:lpstr>'GMIC_2020-Annu_SCDPT5'!SCDPT5_84ENDIN_9</vt:lpstr>
      <vt:lpstr>'GMIC_2020-Annu_SCDPT5'!SCDPT5_8500000_Range</vt:lpstr>
      <vt:lpstr>'GMIC_2020-Annu_SCDPT5'!SCDPT5_8599999_10</vt:lpstr>
      <vt:lpstr>'GMIC_2020-Annu_SCDPT5'!SCDPT5_8599999_11</vt:lpstr>
      <vt:lpstr>'GMIC_2020-Annu_SCDPT5'!SCDPT5_8599999_12</vt:lpstr>
      <vt:lpstr>'GMIC_2020-Annu_SCDPT5'!SCDPT5_8599999_13</vt:lpstr>
      <vt:lpstr>'GMIC_2020-Annu_SCDPT5'!SCDPT5_8599999_14</vt:lpstr>
      <vt:lpstr>'GMIC_2020-Annu_SCDPT5'!SCDPT5_8599999_15</vt:lpstr>
      <vt:lpstr>'GMIC_2020-Annu_SCDPT5'!SCDPT5_8599999_16</vt:lpstr>
      <vt:lpstr>'GMIC_2020-Annu_SCDPT5'!SCDPT5_8599999_17</vt:lpstr>
      <vt:lpstr>'GMIC_2020-Annu_SCDPT5'!SCDPT5_8599999_18</vt:lpstr>
      <vt:lpstr>'GMIC_2020-Annu_SCDPT5'!SCDPT5_8599999_19</vt:lpstr>
      <vt:lpstr>'GMIC_2020-Annu_SCDPT5'!SCDPT5_8599999_20</vt:lpstr>
      <vt:lpstr>'GMIC_2020-Annu_SCDPT5'!SCDPT5_8599999_21</vt:lpstr>
      <vt:lpstr>'GMIC_2020-Annu_SCDPT5'!SCDPT5_8599999_9</vt:lpstr>
      <vt:lpstr>'GMIC_2020-Annu_SCDPT5'!SCDPT5_85BEGIN_1</vt:lpstr>
      <vt:lpstr>'GMIC_2020-Annu_SCDPT5'!SCDPT5_85BEGIN_10</vt:lpstr>
      <vt:lpstr>'GMIC_2020-Annu_SCDPT5'!SCDPT5_85BEGIN_11</vt:lpstr>
      <vt:lpstr>'GMIC_2020-Annu_SCDPT5'!SCDPT5_85BEGIN_12</vt:lpstr>
      <vt:lpstr>'GMIC_2020-Annu_SCDPT5'!SCDPT5_85BEGIN_13</vt:lpstr>
      <vt:lpstr>'GMIC_2020-Annu_SCDPT5'!SCDPT5_85BEGIN_14</vt:lpstr>
      <vt:lpstr>'GMIC_2020-Annu_SCDPT5'!SCDPT5_85BEGIN_15</vt:lpstr>
      <vt:lpstr>'GMIC_2020-Annu_SCDPT5'!SCDPT5_85BEGIN_16</vt:lpstr>
      <vt:lpstr>'GMIC_2020-Annu_SCDPT5'!SCDPT5_85BEGIN_17</vt:lpstr>
      <vt:lpstr>'GMIC_2020-Annu_SCDPT5'!SCDPT5_85BEGIN_18</vt:lpstr>
      <vt:lpstr>'GMIC_2020-Annu_SCDPT5'!SCDPT5_85BEGIN_19</vt:lpstr>
      <vt:lpstr>'GMIC_2020-Annu_SCDPT5'!SCDPT5_85BEGIN_2</vt:lpstr>
      <vt:lpstr>'GMIC_2020-Annu_SCDPT5'!SCDPT5_85BEGIN_20</vt:lpstr>
      <vt:lpstr>'GMIC_2020-Annu_SCDPT5'!SCDPT5_85BEGIN_21</vt:lpstr>
      <vt:lpstr>'GMIC_2020-Annu_SCDPT5'!SCDPT5_85BEGIN_22</vt:lpstr>
      <vt:lpstr>'GMIC_2020-Annu_SCDPT5'!SCDPT5_85BEGIN_23</vt:lpstr>
      <vt:lpstr>'GMIC_2020-Annu_SCDPT5'!SCDPT5_85BEGIN_24</vt:lpstr>
      <vt:lpstr>'GMIC_2020-Annu_SCDPT5'!SCDPT5_85BEGIN_25</vt:lpstr>
      <vt:lpstr>'GMIC_2020-Annu_SCDPT5'!SCDPT5_85BEGIN_26</vt:lpstr>
      <vt:lpstr>'GMIC_2020-Annu_SCDPT5'!SCDPT5_85BEGIN_3</vt:lpstr>
      <vt:lpstr>'GMIC_2020-Annu_SCDPT5'!SCDPT5_85BEGIN_4</vt:lpstr>
      <vt:lpstr>'GMIC_2020-Annu_SCDPT5'!SCDPT5_85BEGIN_5</vt:lpstr>
      <vt:lpstr>'GMIC_2020-Annu_SCDPT5'!SCDPT5_85BEGIN_6</vt:lpstr>
      <vt:lpstr>'GMIC_2020-Annu_SCDPT5'!SCDPT5_85BEGIN_7</vt:lpstr>
      <vt:lpstr>'GMIC_2020-Annu_SCDPT5'!SCDPT5_85BEGIN_8</vt:lpstr>
      <vt:lpstr>'GMIC_2020-Annu_SCDPT5'!SCDPT5_85BEGIN_9</vt:lpstr>
      <vt:lpstr>'GMIC_2020-Annu_SCDPT5'!SCDPT5_85ENDIN_10</vt:lpstr>
      <vt:lpstr>'GMIC_2020-Annu_SCDPT5'!SCDPT5_85ENDIN_11</vt:lpstr>
      <vt:lpstr>'GMIC_2020-Annu_SCDPT5'!SCDPT5_85ENDIN_12</vt:lpstr>
      <vt:lpstr>'GMIC_2020-Annu_SCDPT5'!SCDPT5_85ENDIN_13</vt:lpstr>
      <vt:lpstr>'GMIC_2020-Annu_SCDPT5'!SCDPT5_85ENDIN_14</vt:lpstr>
      <vt:lpstr>'GMIC_2020-Annu_SCDPT5'!SCDPT5_85ENDIN_15</vt:lpstr>
      <vt:lpstr>'GMIC_2020-Annu_SCDPT5'!SCDPT5_85ENDIN_16</vt:lpstr>
      <vt:lpstr>'GMIC_2020-Annu_SCDPT5'!SCDPT5_85ENDIN_17</vt:lpstr>
      <vt:lpstr>'GMIC_2020-Annu_SCDPT5'!SCDPT5_85ENDIN_18</vt:lpstr>
      <vt:lpstr>'GMIC_2020-Annu_SCDPT5'!SCDPT5_85ENDIN_19</vt:lpstr>
      <vt:lpstr>'GMIC_2020-Annu_SCDPT5'!SCDPT5_85ENDIN_2</vt:lpstr>
      <vt:lpstr>'GMIC_2020-Annu_SCDPT5'!SCDPT5_85ENDIN_20</vt:lpstr>
      <vt:lpstr>'GMIC_2020-Annu_SCDPT5'!SCDPT5_85ENDIN_21</vt:lpstr>
      <vt:lpstr>'GMIC_2020-Annu_SCDPT5'!SCDPT5_85ENDIN_22</vt:lpstr>
      <vt:lpstr>'GMIC_2020-Annu_SCDPT5'!SCDPT5_85ENDIN_23</vt:lpstr>
      <vt:lpstr>'GMIC_2020-Annu_SCDPT5'!SCDPT5_85ENDIN_24</vt:lpstr>
      <vt:lpstr>'GMIC_2020-Annu_SCDPT5'!SCDPT5_85ENDIN_25</vt:lpstr>
      <vt:lpstr>'GMIC_2020-Annu_SCDPT5'!SCDPT5_85ENDIN_26</vt:lpstr>
      <vt:lpstr>'GMIC_2020-Annu_SCDPT5'!SCDPT5_85ENDIN_3</vt:lpstr>
      <vt:lpstr>'GMIC_2020-Annu_SCDPT5'!SCDPT5_85ENDIN_4</vt:lpstr>
      <vt:lpstr>'GMIC_2020-Annu_SCDPT5'!SCDPT5_85ENDIN_5</vt:lpstr>
      <vt:lpstr>'GMIC_2020-Annu_SCDPT5'!SCDPT5_85ENDIN_6</vt:lpstr>
      <vt:lpstr>'GMIC_2020-Annu_SCDPT5'!SCDPT5_85ENDIN_7</vt:lpstr>
      <vt:lpstr>'GMIC_2020-Annu_SCDPT5'!SCDPT5_85ENDIN_8</vt:lpstr>
      <vt:lpstr>'GMIC_2020-Annu_SCDPT5'!SCDPT5_85ENDIN_9</vt:lpstr>
      <vt:lpstr>'GMIC_2020-Annu_SCDPT5'!SCDPT5_8600000_Range</vt:lpstr>
      <vt:lpstr>'GMIC_2020-Annu_SCDPT5'!SCDPT5_8699999_10</vt:lpstr>
      <vt:lpstr>'GMIC_2020-Annu_SCDPT5'!SCDPT5_8699999_11</vt:lpstr>
      <vt:lpstr>'GMIC_2020-Annu_SCDPT5'!SCDPT5_8699999_12</vt:lpstr>
      <vt:lpstr>'GMIC_2020-Annu_SCDPT5'!SCDPT5_8699999_13</vt:lpstr>
      <vt:lpstr>'GMIC_2020-Annu_SCDPT5'!SCDPT5_8699999_14</vt:lpstr>
      <vt:lpstr>'GMIC_2020-Annu_SCDPT5'!SCDPT5_8699999_15</vt:lpstr>
      <vt:lpstr>'GMIC_2020-Annu_SCDPT5'!SCDPT5_8699999_16</vt:lpstr>
      <vt:lpstr>'GMIC_2020-Annu_SCDPT5'!SCDPT5_8699999_17</vt:lpstr>
      <vt:lpstr>'GMIC_2020-Annu_SCDPT5'!SCDPT5_8699999_18</vt:lpstr>
      <vt:lpstr>'GMIC_2020-Annu_SCDPT5'!SCDPT5_8699999_19</vt:lpstr>
      <vt:lpstr>'GMIC_2020-Annu_SCDPT5'!SCDPT5_8699999_20</vt:lpstr>
      <vt:lpstr>'GMIC_2020-Annu_SCDPT5'!SCDPT5_8699999_21</vt:lpstr>
      <vt:lpstr>'GMIC_2020-Annu_SCDPT5'!SCDPT5_8699999_9</vt:lpstr>
      <vt:lpstr>'GMIC_2020-Annu_SCDPT5'!SCDPT5_86BEGIN_1</vt:lpstr>
      <vt:lpstr>'GMIC_2020-Annu_SCDPT5'!SCDPT5_86BEGIN_10</vt:lpstr>
      <vt:lpstr>'GMIC_2020-Annu_SCDPT5'!SCDPT5_86BEGIN_11</vt:lpstr>
      <vt:lpstr>'GMIC_2020-Annu_SCDPT5'!SCDPT5_86BEGIN_12</vt:lpstr>
      <vt:lpstr>'GMIC_2020-Annu_SCDPT5'!SCDPT5_86BEGIN_13</vt:lpstr>
      <vt:lpstr>'GMIC_2020-Annu_SCDPT5'!SCDPT5_86BEGIN_14</vt:lpstr>
      <vt:lpstr>'GMIC_2020-Annu_SCDPT5'!SCDPT5_86BEGIN_15</vt:lpstr>
      <vt:lpstr>'GMIC_2020-Annu_SCDPT5'!SCDPT5_86BEGIN_16</vt:lpstr>
      <vt:lpstr>'GMIC_2020-Annu_SCDPT5'!SCDPT5_86BEGIN_17</vt:lpstr>
      <vt:lpstr>'GMIC_2020-Annu_SCDPT5'!SCDPT5_86BEGIN_18</vt:lpstr>
      <vt:lpstr>'GMIC_2020-Annu_SCDPT5'!SCDPT5_86BEGIN_19</vt:lpstr>
      <vt:lpstr>'GMIC_2020-Annu_SCDPT5'!SCDPT5_86BEGIN_2</vt:lpstr>
      <vt:lpstr>'GMIC_2020-Annu_SCDPT5'!SCDPT5_86BEGIN_20</vt:lpstr>
      <vt:lpstr>'GMIC_2020-Annu_SCDPT5'!SCDPT5_86BEGIN_21</vt:lpstr>
      <vt:lpstr>'GMIC_2020-Annu_SCDPT5'!SCDPT5_86BEGIN_22</vt:lpstr>
      <vt:lpstr>'GMIC_2020-Annu_SCDPT5'!SCDPT5_86BEGIN_23</vt:lpstr>
      <vt:lpstr>'GMIC_2020-Annu_SCDPT5'!SCDPT5_86BEGIN_24</vt:lpstr>
      <vt:lpstr>'GMIC_2020-Annu_SCDPT5'!SCDPT5_86BEGIN_25</vt:lpstr>
      <vt:lpstr>'GMIC_2020-Annu_SCDPT5'!SCDPT5_86BEGIN_26</vt:lpstr>
      <vt:lpstr>'GMIC_2020-Annu_SCDPT5'!SCDPT5_86BEGIN_3</vt:lpstr>
      <vt:lpstr>'GMIC_2020-Annu_SCDPT5'!SCDPT5_86BEGIN_4</vt:lpstr>
      <vt:lpstr>'GMIC_2020-Annu_SCDPT5'!SCDPT5_86BEGIN_5</vt:lpstr>
      <vt:lpstr>'GMIC_2020-Annu_SCDPT5'!SCDPT5_86BEGIN_6</vt:lpstr>
      <vt:lpstr>'GMIC_2020-Annu_SCDPT5'!SCDPT5_86BEGIN_7</vt:lpstr>
      <vt:lpstr>'GMIC_2020-Annu_SCDPT5'!SCDPT5_86BEGIN_8</vt:lpstr>
      <vt:lpstr>'GMIC_2020-Annu_SCDPT5'!SCDPT5_86BEGIN_9</vt:lpstr>
      <vt:lpstr>'GMIC_2020-Annu_SCDPT5'!SCDPT5_86ENDIN_10</vt:lpstr>
      <vt:lpstr>'GMIC_2020-Annu_SCDPT5'!SCDPT5_86ENDIN_11</vt:lpstr>
      <vt:lpstr>'GMIC_2020-Annu_SCDPT5'!SCDPT5_86ENDIN_12</vt:lpstr>
      <vt:lpstr>'GMIC_2020-Annu_SCDPT5'!SCDPT5_86ENDIN_13</vt:lpstr>
      <vt:lpstr>'GMIC_2020-Annu_SCDPT5'!SCDPT5_86ENDIN_14</vt:lpstr>
      <vt:lpstr>'GMIC_2020-Annu_SCDPT5'!SCDPT5_86ENDIN_15</vt:lpstr>
      <vt:lpstr>'GMIC_2020-Annu_SCDPT5'!SCDPT5_86ENDIN_16</vt:lpstr>
      <vt:lpstr>'GMIC_2020-Annu_SCDPT5'!SCDPT5_86ENDIN_17</vt:lpstr>
      <vt:lpstr>'GMIC_2020-Annu_SCDPT5'!SCDPT5_86ENDIN_18</vt:lpstr>
      <vt:lpstr>'GMIC_2020-Annu_SCDPT5'!SCDPT5_86ENDIN_19</vt:lpstr>
      <vt:lpstr>'GMIC_2020-Annu_SCDPT5'!SCDPT5_86ENDIN_2</vt:lpstr>
      <vt:lpstr>'GMIC_2020-Annu_SCDPT5'!SCDPT5_86ENDIN_20</vt:lpstr>
      <vt:lpstr>'GMIC_2020-Annu_SCDPT5'!SCDPT5_86ENDIN_21</vt:lpstr>
      <vt:lpstr>'GMIC_2020-Annu_SCDPT5'!SCDPT5_86ENDIN_22</vt:lpstr>
      <vt:lpstr>'GMIC_2020-Annu_SCDPT5'!SCDPT5_86ENDIN_23</vt:lpstr>
      <vt:lpstr>'GMIC_2020-Annu_SCDPT5'!SCDPT5_86ENDIN_24</vt:lpstr>
      <vt:lpstr>'GMIC_2020-Annu_SCDPT5'!SCDPT5_86ENDIN_25</vt:lpstr>
      <vt:lpstr>'GMIC_2020-Annu_SCDPT5'!SCDPT5_86ENDIN_26</vt:lpstr>
      <vt:lpstr>'GMIC_2020-Annu_SCDPT5'!SCDPT5_86ENDIN_3</vt:lpstr>
      <vt:lpstr>'GMIC_2020-Annu_SCDPT5'!SCDPT5_86ENDIN_4</vt:lpstr>
      <vt:lpstr>'GMIC_2020-Annu_SCDPT5'!SCDPT5_86ENDIN_5</vt:lpstr>
      <vt:lpstr>'GMIC_2020-Annu_SCDPT5'!SCDPT5_86ENDIN_6</vt:lpstr>
      <vt:lpstr>'GMIC_2020-Annu_SCDPT5'!SCDPT5_86ENDIN_7</vt:lpstr>
      <vt:lpstr>'GMIC_2020-Annu_SCDPT5'!SCDPT5_86ENDIN_8</vt:lpstr>
      <vt:lpstr>'GMIC_2020-Annu_SCDPT5'!SCDPT5_86ENDIN_9</vt:lpstr>
      <vt:lpstr>'GMIC_2020-Annu_SCDPT5'!SCDPT5_8700000_Range</vt:lpstr>
      <vt:lpstr>'GMIC_2020-Annu_SCDPT5'!SCDPT5_8799999_10</vt:lpstr>
      <vt:lpstr>'GMIC_2020-Annu_SCDPT5'!SCDPT5_8799999_11</vt:lpstr>
      <vt:lpstr>'GMIC_2020-Annu_SCDPT5'!SCDPT5_8799999_12</vt:lpstr>
      <vt:lpstr>'GMIC_2020-Annu_SCDPT5'!SCDPT5_8799999_13</vt:lpstr>
      <vt:lpstr>'GMIC_2020-Annu_SCDPT5'!SCDPT5_8799999_14</vt:lpstr>
      <vt:lpstr>'GMIC_2020-Annu_SCDPT5'!SCDPT5_8799999_15</vt:lpstr>
      <vt:lpstr>'GMIC_2020-Annu_SCDPT5'!SCDPT5_8799999_16</vt:lpstr>
      <vt:lpstr>'GMIC_2020-Annu_SCDPT5'!SCDPT5_8799999_17</vt:lpstr>
      <vt:lpstr>'GMIC_2020-Annu_SCDPT5'!SCDPT5_8799999_18</vt:lpstr>
      <vt:lpstr>'GMIC_2020-Annu_SCDPT5'!SCDPT5_8799999_19</vt:lpstr>
      <vt:lpstr>'GMIC_2020-Annu_SCDPT5'!SCDPT5_8799999_20</vt:lpstr>
      <vt:lpstr>'GMIC_2020-Annu_SCDPT5'!SCDPT5_8799999_21</vt:lpstr>
      <vt:lpstr>'GMIC_2020-Annu_SCDPT5'!SCDPT5_8799999_9</vt:lpstr>
      <vt:lpstr>'GMIC_2020-Annu_SCDPT5'!SCDPT5_87BEGIN_1</vt:lpstr>
      <vt:lpstr>'GMIC_2020-Annu_SCDPT5'!SCDPT5_87BEGIN_10</vt:lpstr>
      <vt:lpstr>'GMIC_2020-Annu_SCDPT5'!SCDPT5_87BEGIN_11</vt:lpstr>
      <vt:lpstr>'GMIC_2020-Annu_SCDPT5'!SCDPT5_87BEGIN_12</vt:lpstr>
      <vt:lpstr>'GMIC_2020-Annu_SCDPT5'!SCDPT5_87BEGIN_13</vt:lpstr>
      <vt:lpstr>'GMIC_2020-Annu_SCDPT5'!SCDPT5_87BEGIN_14</vt:lpstr>
      <vt:lpstr>'GMIC_2020-Annu_SCDPT5'!SCDPT5_87BEGIN_15</vt:lpstr>
      <vt:lpstr>'GMIC_2020-Annu_SCDPT5'!SCDPT5_87BEGIN_16</vt:lpstr>
      <vt:lpstr>'GMIC_2020-Annu_SCDPT5'!SCDPT5_87BEGIN_17</vt:lpstr>
      <vt:lpstr>'GMIC_2020-Annu_SCDPT5'!SCDPT5_87BEGIN_18</vt:lpstr>
      <vt:lpstr>'GMIC_2020-Annu_SCDPT5'!SCDPT5_87BEGIN_19</vt:lpstr>
      <vt:lpstr>'GMIC_2020-Annu_SCDPT5'!SCDPT5_87BEGIN_2</vt:lpstr>
      <vt:lpstr>'GMIC_2020-Annu_SCDPT5'!SCDPT5_87BEGIN_20</vt:lpstr>
      <vt:lpstr>'GMIC_2020-Annu_SCDPT5'!SCDPT5_87BEGIN_21</vt:lpstr>
      <vt:lpstr>'GMIC_2020-Annu_SCDPT5'!SCDPT5_87BEGIN_22</vt:lpstr>
      <vt:lpstr>'GMIC_2020-Annu_SCDPT5'!SCDPT5_87BEGIN_23</vt:lpstr>
      <vt:lpstr>'GMIC_2020-Annu_SCDPT5'!SCDPT5_87BEGIN_24</vt:lpstr>
      <vt:lpstr>'GMIC_2020-Annu_SCDPT5'!SCDPT5_87BEGIN_25</vt:lpstr>
      <vt:lpstr>'GMIC_2020-Annu_SCDPT5'!SCDPT5_87BEGIN_26</vt:lpstr>
      <vt:lpstr>'GMIC_2020-Annu_SCDPT5'!SCDPT5_87BEGIN_3</vt:lpstr>
      <vt:lpstr>'GMIC_2020-Annu_SCDPT5'!SCDPT5_87BEGIN_4</vt:lpstr>
      <vt:lpstr>'GMIC_2020-Annu_SCDPT5'!SCDPT5_87BEGIN_5</vt:lpstr>
      <vt:lpstr>'GMIC_2020-Annu_SCDPT5'!SCDPT5_87BEGIN_6</vt:lpstr>
      <vt:lpstr>'GMIC_2020-Annu_SCDPT5'!SCDPT5_87BEGIN_7</vt:lpstr>
      <vt:lpstr>'GMIC_2020-Annu_SCDPT5'!SCDPT5_87BEGIN_8</vt:lpstr>
      <vt:lpstr>'GMIC_2020-Annu_SCDPT5'!SCDPT5_87BEGIN_9</vt:lpstr>
      <vt:lpstr>'GMIC_2020-Annu_SCDPT5'!SCDPT5_87ENDIN_10</vt:lpstr>
      <vt:lpstr>'GMIC_2020-Annu_SCDPT5'!SCDPT5_87ENDIN_11</vt:lpstr>
      <vt:lpstr>'GMIC_2020-Annu_SCDPT5'!SCDPT5_87ENDIN_12</vt:lpstr>
      <vt:lpstr>'GMIC_2020-Annu_SCDPT5'!SCDPT5_87ENDIN_13</vt:lpstr>
      <vt:lpstr>'GMIC_2020-Annu_SCDPT5'!SCDPT5_87ENDIN_14</vt:lpstr>
      <vt:lpstr>'GMIC_2020-Annu_SCDPT5'!SCDPT5_87ENDIN_15</vt:lpstr>
      <vt:lpstr>'GMIC_2020-Annu_SCDPT5'!SCDPT5_87ENDIN_16</vt:lpstr>
      <vt:lpstr>'GMIC_2020-Annu_SCDPT5'!SCDPT5_87ENDIN_17</vt:lpstr>
      <vt:lpstr>'GMIC_2020-Annu_SCDPT5'!SCDPT5_87ENDIN_18</vt:lpstr>
      <vt:lpstr>'GMIC_2020-Annu_SCDPT5'!SCDPT5_87ENDIN_19</vt:lpstr>
      <vt:lpstr>'GMIC_2020-Annu_SCDPT5'!SCDPT5_87ENDIN_2</vt:lpstr>
      <vt:lpstr>'GMIC_2020-Annu_SCDPT5'!SCDPT5_87ENDIN_20</vt:lpstr>
      <vt:lpstr>'GMIC_2020-Annu_SCDPT5'!SCDPT5_87ENDIN_21</vt:lpstr>
      <vt:lpstr>'GMIC_2020-Annu_SCDPT5'!SCDPT5_87ENDIN_22</vt:lpstr>
      <vt:lpstr>'GMIC_2020-Annu_SCDPT5'!SCDPT5_87ENDIN_23</vt:lpstr>
      <vt:lpstr>'GMIC_2020-Annu_SCDPT5'!SCDPT5_87ENDIN_24</vt:lpstr>
      <vt:lpstr>'GMIC_2020-Annu_SCDPT5'!SCDPT5_87ENDIN_25</vt:lpstr>
      <vt:lpstr>'GMIC_2020-Annu_SCDPT5'!SCDPT5_87ENDIN_26</vt:lpstr>
      <vt:lpstr>'GMIC_2020-Annu_SCDPT5'!SCDPT5_87ENDIN_3</vt:lpstr>
      <vt:lpstr>'GMIC_2020-Annu_SCDPT5'!SCDPT5_87ENDIN_4</vt:lpstr>
      <vt:lpstr>'GMIC_2020-Annu_SCDPT5'!SCDPT5_87ENDIN_5</vt:lpstr>
      <vt:lpstr>'GMIC_2020-Annu_SCDPT5'!SCDPT5_87ENDIN_6</vt:lpstr>
      <vt:lpstr>'GMIC_2020-Annu_SCDPT5'!SCDPT5_87ENDIN_7</vt:lpstr>
      <vt:lpstr>'GMIC_2020-Annu_SCDPT5'!SCDPT5_87ENDIN_8</vt:lpstr>
      <vt:lpstr>'GMIC_2020-Annu_SCDPT5'!SCDPT5_87ENDIN_9</vt:lpstr>
      <vt:lpstr>'GMIC_2020-Annu_SCDPT5'!SCDPT5_8999998_10</vt:lpstr>
      <vt:lpstr>'GMIC_2020-Annu_SCDPT5'!SCDPT5_8999998_11</vt:lpstr>
      <vt:lpstr>'GMIC_2020-Annu_SCDPT5'!SCDPT5_8999998_12</vt:lpstr>
      <vt:lpstr>'GMIC_2020-Annu_SCDPT5'!SCDPT5_8999998_13</vt:lpstr>
      <vt:lpstr>'GMIC_2020-Annu_SCDPT5'!SCDPT5_8999998_14</vt:lpstr>
      <vt:lpstr>'GMIC_2020-Annu_SCDPT5'!SCDPT5_8999998_15</vt:lpstr>
      <vt:lpstr>'GMIC_2020-Annu_SCDPT5'!SCDPT5_8999998_16</vt:lpstr>
      <vt:lpstr>'GMIC_2020-Annu_SCDPT5'!SCDPT5_8999998_17</vt:lpstr>
      <vt:lpstr>'GMIC_2020-Annu_SCDPT5'!SCDPT5_8999998_18</vt:lpstr>
      <vt:lpstr>'GMIC_2020-Annu_SCDPT5'!SCDPT5_8999998_19</vt:lpstr>
      <vt:lpstr>'GMIC_2020-Annu_SCDPT5'!SCDPT5_8999998_20</vt:lpstr>
      <vt:lpstr>'GMIC_2020-Annu_SCDPT5'!SCDPT5_8999998_21</vt:lpstr>
      <vt:lpstr>'GMIC_2020-Annu_SCDPT5'!SCDPT5_8999998_9</vt:lpstr>
      <vt:lpstr>'GMIC_2020-Annu_SCDPT5'!SCDPT5_9000000_Range</vt:lpstr>
      <vt:lpstr>'GMIC_2020-Annu_SCDPT5'!SCDPT5_9099999_10</vt:lpstr>
      <vt:lpstr>'GMIC_2020-Annu_SCDPT5'!SCDPT5_9099999_11</vt:lpstr>
      <vt:lpstr>'GMIC_2020-Annu_SCDPT5'!SCDPT5_9099999_12</vt:lpstr>
      <vt:lpstr>'GMIC_2020-Annu_SCDPT5'!SCDPT5_9099999_13</vt:lpstr>
      <vt:lpstr>'GMIC_2020-Annu_SCDPT5'!SCDPT5_9099999_14</vt:lpstr>
      <vt:lpstr>'GMIC_2020-Annu_SCDPT5'!SCDPT5_9099999_15</vt:lpstr>
      <vt:lpstr>'GMIC_2020-Annu_SCDPT5'!SCDPT5_9099999_16</vt:lpstr>
      <vt:lpstr>'GMIC_2020-Annu_SCDPT5'!SCDPT5_9099999_17</vt:lpstr>
      <vt:lpstr>'GMIC_2020-Annu_SCDPT5'!SCDPT5_9099999_18</vt:lpstr>
      <vt:lpstr>'GMIC_2020-Annu_SCDPT5'!SCDPT5_9099999_19</vt:lpstr>
      <vt:lpstr>'GMIC_2020-Annu_SCDPT5'!SCDPT5_9099999_20</vt:lpstr>
      <vt:lpstr>'GMIC_2020-Annu_SCDPT5'!SCDPT5_9099999_21</vt:lpstr>
      <vt:lpstr>'GMIC_2020-Annu_SCDPT5'!SCDPT5_9099999_9</vt:lpstr>
      <vt:lpstr>'GMIC_2020-Annu_SCDPT5'!SCDPT5_90BEGIN_1</vt:lpstr>
      <vt:lpstr>'GMIC_2020-Annu_SCDPT5'!SCDPT5_90BEGIN_10</vt:lpstr>
      <vt:lpstr>'GMIC_2020-Annu_SCDPT5'!SCDPT5_90BEGIN_11</vt:lpstr>
      <vt:lpstr>'GMIC_2020-Annu_SCDPT5'!SCDPT5_90BEGIN_12</vt:lpstr>
      <vt:lpstr>'GMIC_2020-Annu_SCDPT5'!SCDPT5_90BEGIN_13</vt:lpstr>
      <vt:lpstr>'GMIC_2020-Annu_SCDPT5'!SCDPT5_90BEGIN_14</vt:lpstr>
      <vt:lpstr>'GMIC_2020-Annu_SCDPT5'!SCDPT5_90BEGIN_15</vt:lpstr>
      <vt:lpstr>'GMIC_2020-Annu_SCDPT5'!SCDPT5_90BEGIN_16</vt:lpstr>
      <vt:lpstr>'GMIC_2020-Annu_SCDPT5'!SCDPT5_90BEGIN_17</vt:lpstr>
      <vt:lpstr>'GMIC_2020-Annu_SCDPT5'!SCDPT5_90BEGIN_18</vt:lpstr>
      <vt:lpstr>'GMIC_2020-Annu_SCDPT5'!SCDPT5_90BEGIN_19</vt:lpstr>
      <vt:lpstr>'GMIC_2020-Annu_SCDPT5'!SCDPT5_90BEGIN_2</vt:lpstr>
      <vt:lpstr>'GMIC_2020-Annu_SCDPT5'!SCDPT5_90BEGIN_20</vt:lpstr>
      <vt:lpstr>'GMIC_2020-Annu_SCDPT5'!SCDPT5_90BEGIN_21</vt:lpstr>
      <vt:lpstr>'GMIC_2020-Annu_SCDPT5'!SCDPT5_90BEGIN_22</vt:lpstr>
      <vt:lpstr>'GMIC_2020-Annu_SCDPT5'!SCDPT5_90BEGIN_23</vt:lpstr>
      <vt:lpstr>'GMIC_2020-Annu_SCDPT5'!SCDPT5_90BEGIN_24</vt:lpstr>
      <vt:lpstr>'GMIC_2020-Annu_SCDPT5'!SCDPT5_90BEGIN_25</vt:lpstr>
      <vt:lpstr>'GMIC_2020-Annu_SCDPT5'!SCDPT5_90BEGIN_26</vt:lpstr>
      <vt:lpstr>'GMIC_2020-Annu_SCDPT5'!SCDPT5_90BEGIN_3</vt:lpstr>
      <vt:lpstr>'GMIC_2020-Annu_SCDPT5'!SCDPT5_90BEGIN_4</vt:lpstr>
      <vt:lpstr>'GMIC_2020-Annu_SCDPT5'!SCDPT5_90BEGIN_5</vt:lpstr>
      <vt:lpstr>'GMIC_2020-Annu_SCDPT5'!SCDPT5_90BEGIN_6</vt:lpstr>
      <vt:lpstr>'GMIC_2020-Annu_SCDPT5'!SCDPT5_90BEGIN_7</vt:lpstr>
      <vt:lpstr>'GMIC_2020-Annu_SCDPT5'!SCDPT5_90BEGIN_8</vt:lpstr>
      <vt:lpstr>'GMIC_2020-Annu_SCDPT5'!SCDPT5_90BEGIN_9</vt:lpstr>
      <vt:lpstr>'GMIC_2020-Annu_SCDPT5'!SCDPT5_90ENDIN_10</vt:lpstr>
      <vt:lpstr>'GMIC_2020-Annu_SCDPT5'!SCDPT5_90ENDIN_11</vt:lpstr>
      <vt:lpstr>'GMIC_2020-Annu_SCDPT5'!SCDPT5_90ENDIN_12</vt:lpstr>
      <vt:lpstr>'GMIC_2020-Annu_SCDPT5'!SCDPT5_90ENDIN_13</vt:lpstr>
      <vt:lpstr>'GMIC_2020-Annu_SCDPT5'!SCDPT5_90ENDIN_14</vt:lpstr>
      <vt:lpstr>'GMIC_2020-Annu_SCDPT5'!SCDPT5_90ENDIN_15</vt:lpstr>
      <vt:lpstr>'GMIC_2020-Annu_SCDPT5'!SCDPT5_90ENDIN_16</vt:lpstr>
      <vt:lpstr>'GMIC_2020-Annu_SCDPT5'!SCDPT5_90ENDIN_17</vt:lpstr>
      <vt:lpstr>'GMIC_2020-Annu_SCDPT5'!SCDPT5_90ENDIN_18</vt:lpstr>
      <vt:lpstr>'GMIC_2020-Annu_SCDPT5'!SCDPT5_90ENDIN_19</vt:lpstr>
      <vt:lpstr>'GMIC_2020-Annu_SCDPT5'!SCDPT5_90ENDIN_2</vt:lpstr>
      <vt:lpstr>'GMIC_2020-Annu_SCDPT5'!SCDPT5_90ENDIN_20</vt:lpstr>
      <vt:lpstr>'GMIC_2020-Annu_SCDPT5'!SCDPT5_90ENDIN_21</vt:lpstr>
      <vt:lpstr>'GMIC_2020-Annu_SCDPT5'!SCDPT5_90ENDIN_22</vt:lpstr>
      <vt:lpstr>'GMIC_2020-Annu_SCDPT5'!SCDPT5_90ENDIN_23</vt:lpstr>
      <vt:lpstr>'GMIC_2020-Annu_SCDPT5'!SCDPT5_90ENDIN_24</vt:lpstr>
      <vt:lpstr>'GMIC_2020-Annu_SCDPT5'!SCDPT5_90ENDIN_25</vt:lpstr>
      <vt:lpstr>'GMIC_2020-Annu_SCDPT5'!SCDPT5_90ENDIN_26</vt:lpstr>
      <vt:lpstr>'GMIC_2020-Annu_SCDPT5'!SCDPT5_90ENDIN_3</vt:lpstr>
      <vt:lpstr>'GMIC_2020-Annu_SCDPT5'!SCDPT5_90ENDIN_4</vt:lpstr>
      <vt:lpstr>'GMIC_2020-Annu_SCDPT5'!SCDPT5_90ENDIN_5</vt:lpstr>
      <vt:lpstr>'GMIC_2020-Annu_SCDPT5'!SCDPT5_90ENDIN_6</vt:lpstr>
      <vt:lpstr>'GMIC_2020-Annu_SCDPT5'!SCDPT5_90ENDIN_7</vt:lpstr>
      <vt:lpstr>'GMIC_2020-Annu_SCDPT5'!SCDPT5_90ENDIN_8</vt:lpstr>
      <vt:lpstr>'GMIC_2020-Annu_SCDPT5'!SCDPT5_90ENDIN_9</vt:lpstr>
      <vt:lpstr>'GMIC_2020-Annu_SCDPT5'!SCDPT5_9100000_Range</vt:lpstr>
      <vt:lpstr>'GMIC_2020-Annu_SCDPT5'!SCDPT5_9199999_10</vt:lpstr>
      <vt:lpstr>'GMIC_2020-Annu_SCDPT5'!SCDPT5_9199999_11</vt:lpstr>
      <vt:lpstr>'GMIC_2020-Annu_SCDPT5'!SCDPT5_9199999_12</vt:lpstr>
      <vt:lpstr>'GMIC_2020-Annu_SCDPT5'!SCDPT5_9199999_13</vt:lpstr>
      <vt:lpstr>'GMIC_2020-Annu_SCDPT5'!SCDPT5_9199999_14</vt:lpstr>
      <vt:lpstr>'GMIC_2020-Annu_SCDPT5'!SCDPT5_9199999_15</vt:lpstr>
      <vt:lpstr>'GMIC_2020-Annu_SCDPT5'!SCDPT5_9199999_16</vt:lpstr>
      <vt:lpstr>'GMIC_2020-Annu_SCDPT5'!SCDPT5_9199999_17</vt:lpstr>
      <vt:lpstr>'GMIC_2020-Annu_SCDPT5'!SCDPT5_9199999_18</vt:lpstr>
      <vt:lpstr>'GMIC_2020-Annu_SCDPT5'!SCDPT5_9199999_19</vt:lpstr>
      <vt:lpstr>'GMIC_2020-Annu_SCDPT5'!SCDPT5_9199999_20</vt:lpstr>
      <vt:lpstr>'GMIC_2020-Annu_SCDPT5'!SCDPT5_9199999_21</vt:lpstr>
      <vt:lpstr>'GMIC_2020-Annu_SCDPT5'!SCDPT5_9199999_9</vt:lpstr>
      <vt:lpstr>'GMIC_2020-Annu_SCDPT5'!SCDPT5_91BEGIN_1</vt:lpstr>
      <vt:lpstr>'GMIC_2020-Annu_SCDPT5'!SCDPT5_91BEGIN_10</vt:lpstr>
      <vt:lpstr>'GMIC_2020-Annu_SCDPT5'!SCDPT5_91BEGIN_11</vt:lpstr>
      <vt:lpstr>'GMIC_2020-Annu_SCDPT5'!SCDPT5_91BEGIN_12</vt:lpstr>
      <vt:lpstr>'GMIC_2020-Annu_SCDPT5'!SCDPT5_91BEGIN_13</vt:lpstr>
      <vt:lpstr>'GMIC_2020-Annu_SCDPT5'!SCDPT5_91BEGIN_14</vt:lpstr>
      <vt:lpstr>'GMIC_2020-Annu_SCDPT5'!SCDPT5_91BEGIN_15</vt:lpstr>
      <vt:lpstr>'GMIC_2020-Annu_SCDPT5'!SCDPT5_91BEGIN_16</vt:lpstr>
      <vt:lpstr>'GMIC_2020-Annu_SCDPT5'!SCDPT5_91BEGIN_17</vt:lpstr>
      <vt:lpstr>'GMIC_2020-Annu_SCDPT5'!SCDPT5_91BEGIN_18</vt:lpstr>
      <vt:lpstr>'GMIC_2020-Annu_SCDPT5'!SCDPT5_91BEGIN_19</vt:lpstr>
      <vt:lpstr>'GMIC_2020-Annu_SCDPT5'!SCDPT5_91BEGIN_2</vt:lpstr>
      <vt:lpstr>'GMIC_2020-Annu_SCDPT5'!SCDPT5_91BEGIN_20</vt:lpstr>
      <vt:lpstr>'GMIC_2020-Annu_SCDPT5'!SCDPT5_91BEGIN_21</vt:lpstr>
      <vt:lpstr>'GMIC_2020-Annu_SCDPT5'!SCDPT5_91BEGIN_22</vt:lpstr>
      <vt:lpstr>'GMIC_2020-Annu_SCDPT5'!SCDPT5_91BEGIN_23</vt:lpstr>
      <vt:lpstr>'GMIC_2020-Annu_SCDPT5'!SCDPT5_91BEGIN_24</vt:lpstr>
      <vt:lpstr>'GMIC_2020-Annu_SCDPT5'!SCDPT5_91BEGIN_25</vt:lpstr>
      <vt:lpstr>'GMIC_2020-Annu_SCDPT5'!SCDPT5_91BEGIN_26</vt:lpstr>
      <vt:lpstr>'GMIC_2020-Annu_SCDPT5'!SCDPT5_91BEGIN_3</vt:lpstr>
      <vt:lpstr>'GMIC_2020-Annu_SCDPT5'!SCDPT5_91BEGIN_4</vt:lpstr>
      <vt:lpstr>'GMIC_2020-Annu_SCDPT5'!SCDPT5_91BEGIN_5</vt:lpstr>
      <vt:lpstr>'GMIC_2020-Annu_SCDPT5'!SCDPT5_91BEGIN_6</vt:lpstr>
      <vt:lpstr>'GMIC_2020-Annu_SCDPT5'!SCDPT5_91BEGIN_7</vt:lpstr>
      <vt:lpstr>'GMIC_2020-Annu_SCDPT5'!SCDPT5_91BEGIN_8</vt:lpstr>
      <vt:lpstr>'GMIC_2020-Annu_SCDPT5'!SCDPT5_91BEGIN_9</vt:lpstr>
      <vt:lpstr>'GMIC_2020-Annu_SCDPT5'!SCDPT5_91ENDIN_10</vt:lpstr>
      <vt:lpstr>'GMIC_2020-Annu_SCDPT5'!SCDPT5_91ENDIN_11</vt:lpstr>
      <vt:lpstr>'GMIC_2020-Annu_SCDPT5'!SCDPT5_91ENDIN_12</vt:lpstr>
      <vt:lpstr>'GMIC_2020-Annu_SCDPT5'!SCDPT5_91ENDIN_13</vt:lpstr>
      <vt:lpstr>'GMIC_2020-Annu_SCDPT5'!SCDPT5_91ENDIN_14</vt:lpstr>
      <vt:lpstr>'GMIC_2020-Annu_SCDPT5'!SCDPT5_91ENDIN_15</vt:lpstr>
      <vt:lpstr>'GMIC_2020-Annu_SCDPT5'!SCDPT5_91ENDIN_16</vt:lpstr>
      <vt:lpstr>'GMIC_2020-Annu_SCDPT5'!SCDPT5_91ENDIN_17</vt:lpstr>
      <vt:lpstr>'GMIC_2020-Annu_SCDPT5'!SCDPT5_91ENDIN_18</vt:lpstr>
      <vt:lpstr>'GMIC_2020-Annu_SCDPT5'!SCDPT5_91ENDIN_19</vt:lpstr>
      <vt:lpstr>'GMIC_2020-Annu_SCDPT5'!SCDPT5_91ENDIN_2</vt:lpstr>
      <vt:lpstr>'GMIC_2020-Annu_SCDPT5'!SCDPT5_91ENDIN_20</vt:lpstr>
      <vt:lpstr>'GMIC_2020-Annu_SCDPT5'!SCDPT5_91ENDIN_21</vt:lpstr>
      <vt:lpstr>'GMIC_2020-Annu_SCDPT5'!SCDPT5_91ENDIN_22</vt:lpstr>
      <vt:lpstr>'GMIC_2020-Annu_SCDPT5'!SCDPT5_91ENDIN_23</vt:lpstr>
      <vt:lpstr>'GMIC_2020-Annu_SCDPT5'!SCDPT5_91ENDIN_24</vt:lpstr>
      <vt:lpstr>'GMIC_2020-Annu_SCDPT5'!SCDPT5_91ENDIN_25</vt:lpstr>
      <vt:lpstr>'GMIC_2020-Annu_SCDPT5'!SCDPT5_91ENDIN_26</vt:lpstr>
      <vt:lpstr>'GMIC_2020-Annu_SCDPT5'!SCDPT5_91ENDIN_3</vt:lpstr>
      <vt:lpstr>'GMIC_2020-Annu_SCDPT5'!SCDPT5_91ENDIN_4</vt:lpstr>
      <vt:lpstr>'GMIC_2020-Annu_SCDPT5'!SCDPT5_91ENDIN_5</vt:lpstr>
      <vt:lpstr>'GMIC_2020-Annu_SCDPT5'!SCDPT5_91ENDIN_6</vt:lpstr>
      <vt:lpstr>'GMIC_2020-Annu_SCDPT5'!SCDPT5_91ENDIN_7</vt:lpstr>
      <vt:lpstr>'GMIC_2020-Annu_SCDPT5'!SCDPT5_91ENDIN_8</vt:lpstr>
      <vt:lpstr>'GMIC_2020-Annu_SCDPT5'!SCDPT5_91ENDIN_9</vt:lpstr>
      <vt:lpstr>'GMIC_2020-Annu_SCDPT5'!SCDPT5_9200000_Range</vt:lpstr>
      <vt:lpstr>'GMIC_2020-Annu_SCDPT5'!SCDPT5_9299999_10</vt:lpstr>
      <vt:lpstr>'GMIC_2020-Annu_SCDPT5'!SCDPT5_9299999_11</vt:lpstr>
      <vt:lpstr>'GMIC_2020-Annu_SCDPT5'!SCDPT5_9299999_12</vt:lpstr>
      <vt:lpstr>'GMIC_2020-Annu_SCDPT5'!SCDPT5_9299999_13</vt:lpstr>
      <vt:lpstr>'GMIC_2020-Annu_SCDPT5'!SCDPT5_9299999_14</vt:lpstr>
      <vt:lpstr>'GMIC_2020-Annu_SCDPT5'!SCDPT5_9299999_15</vt:lpstr>
      <vt:lpstr>'GMIC_2020-Annu_SCDPT5'!SCDPT5_9299999_16</vt:lpstr>
      <vt:lpstr>'GMIC_2020-Annu_SCDPT5'!SCDPT5_9299999_17</vt:lpstr>
      <vt:lpstr>'GMIC_2020-Annu_SCDPT5'!SCDPT5_9299999_18</vt:lpstr>
      <vt:lpstr>'GMIC_2020-Annu_SCDPT5'!SCDPT5_9299999_19</vt:lpstr>
      <vt:lpstr>'GMIC_2020-Annu_SCDPT5'!SCDPT5_9299999_20</vt:lpstr>
      <vt:lpstr>'GMIC_2020-Annu_SCDPT5'!SCDPT5_9299999_21</vt:lpstr>
      <vt:lpstr>'GMIC_2020-Annu_SCDPT5'!SCDPT5_9299999_9</vt:lpstr>
      <vt:lpstr>'GMIC_2020-Annu_SCDPT5'!SCDPT5_92BEGIN_1</vt:lpstr>
      <vt:lpstr>'GMIC_2020-Annu_SCDPT5'!SCDPT5_92BEGIN_10</vt:lpstr>
      <vt:lpstr>'GMIC_2020-Annu_SCDPT5'!SCDPT5_92BEGIN_11</vt:lpstr>
      <vt:lpstr>'GMIC_2020-Annu_SCDPT5'!SCDPT5_92BEGIN_12</vt:lpstr>
      <vt:lpstr>'GMIC_2020-Annu_SCDPT5'!SCDPT5_92BEGIN_13</vt:lpstr>
      <vt:lpstr>'GMIC_2020-Annu_SCDPT5'!SCDPT5_92BEGIN_14</vt:lpstr>
      <vt:lpstr>'GMIC_2020-Annu_SCDPT5'!SCDPT5_92BEGIN_15</vt:lpstr>
      <vt:lpstr>'GMIC_2020-Annu_SCDPT5'!SCDPT5_92BEGIN_16</vt:lpstr>
      <vt:lpstr>'GMIC_2020-Annu_SCDPT5'!SCDPT5_92BEGIN_17</vt:lpstr>
      <vt:lpstr>'GMIC_2020-Annu_SCDPT5'!SCDPT5_92BEGIN_18</vt:lpstr>
      <vt:lpstr>'GMIC_2020-Annu_SCDPT5'!SCDPT5_92BEGIN_19</vt:lpstr>
      <vt:lpstr>'GMIC_2020-Annu_SCDPT5'!SCDPT5_92BEGIN_2</vt:lpstr>
      <vt:lpstr>'GMIC_2020-Annu_SCDPT5'!SCDPT5_92BEGIN_20</vt:lpstr>
      <vt:lpstr>'GMIC_2020-Annu_SCDPT5'!SCDPT5_92BEGIN_21</vt:lpstr>
      <vt:lpstr>'GMIC_2020-Annu_SCDPT5'!SCDPT5_92BEGIN_22</vt:lpstr>
      <vt:lpstr>'GMIC_2020-Annu_SCDPT5'!SCDPT5_92BEGIN_23</vt:lpstr>
      <vt:lpstr>'GMIC_2020-Annu_SCDPT5'!SCDPT5_92BEGIN_24</vt:lpstr>
      <vt:lpstr>'GMIC_2020-Annu_SCDPT5'!SCDPT5_92BEGIN_25</vt:lpstr>
      <vt:lpstr>'GMIC_2020-Annu_SCDPT5'!SCDPT5_92BEGIN_26</vt:lpstr>
      <vt:lpstr>'GMIC_2020-Annu_SCDPT5'!SCDPT5_92BEGIN_3</vt:lpstr>
      <vt:lpstr>'GMIC_2020-Annu_SCDPT5'!SCDPT5_92BEGIN_4</vt:lpstr>
      <vt:lpstr>'GMIC_2020-Annu_SCDPT5'!SCDPT5_92BEGIN_5</vt:lpstr>
      <vt:lpstr>'GMIC_2020-Annu_SCDPT5'!SCDPT5_92BEGIN_6</vt:lpstr>
      <vt:lpstr>'GMIC_2020-Annu_SCDPT5'!SCDPT5_92BEGIN_7</vt:lpstr>
      <vt:lpstr>'GMIC_2020-Annu_SCDPT5'!SCDPT5_92BEGIN_8</vt:lpstr>
      <vt:lpstr>'GMIC_2020-Annu_SCDPT5'!SCDPT5_92BEGIN_9</vt:lpstr>
      <vt:lpstr>'GMIC_2020-Annu_SCDPT5'!SCDPT5_92ENDIN_10</vt:lpstr>
      <vt:lpstr>'GMIC_2020-Annu_SCDPT5'!SCDPT5_92ENDIN_11</vt:lpstr>
      <vt:lpstr>'GMIC_2020-Annu_SCDPT5'!SCDPT5_92ENDIN_12</vt:lpstr>
      <vt:lpstr>'GMIC_2020-Annu_SCDPT5'!SCDPT5_92ENDIN_13</vt:lpstr>
      <vt:lpstr>'GMIC_2020-Annu_SCDPT5'!SCDPT5_92ENDIN_14</vt:lpstr>
      <vt:lpstr>'GMIC_2020-Annu_SCDPT5'!SCDPT5_92ENDIN_15</vt:lpstr>
      <vt:lpstr>'GMIC_2020-Annu_SCDPT5'!SCDPT5_92ENDIN_16</vt:lpstr>
      <vt:lpstr>'GMIC_2020-Annu_SCDPT5'!SCDPT5_92ENDIN_17</vt:lpstr>
      <vt:lpstr>'GMIC_2020-Annu_SCDPT5'!SCDPT5_92ENDIN_18</vt:lpstr>
      <vt:lpstr>'GMIC_2020-Annu_SCDPT5'!SCDPT5_92ENDIN_19</vt:lpstr>
      <vt:lpstr>'GMIC_2020-Annu_SCDPT5'!SCDPT5_92ENDIN_2</vt:lpstr>
      <vt:lpstr>'GMIC_2020-Annu_SCDPT5'!SCDPT5_92ENDIN_20</vt:lpstr>
      <vt:lpstr>'GMIC_2020-Annu_SCDPT5'!SCDPT5_92ENDIN_21</vt:lpstr>
      <vt:lpstr>'GMIC_2020-Annu_SCDPT5'!SCDPT5_92ENDIN_22</vt:lpstr>
      <vt:lpstr>'GMIC_2020-Annu_SCDPT5'!SCDPT5_92ENDIN_23</vt:lpstr>
      <vt:lpstr>'GMIC_2020-Annu_SCDPT5'!SCDPT5_92ENDIN_24</vt:lpstr>
      <vt:lpstr>'GMIC_2020-Annu_SCDPT5'!SCDPT5_92ENDIN_25</vt:lpstr>
      <vt:lpstr>'GMIC_2020-Annu_SCDPT5'!SCDPT5_92ENDIN_26</vt:lpstr>
      <vt:lpstr>'GMIC_2020-Annu_SCDPT5'!SCDPT5_92ENDIN_3</vt:lpstr>
      <vt:lpstr>'GMIC_2020-Annu_SCDPT5'!SCDPT5_92ENDIN_4</vt:lpstr>
      <vt:lpstr>'GMIC_2020-Annu_SCDPT5'!SCDPT5_92ENDIN_5</vt:lpstr>
      <vt:lpstr>'GMIC_2020-Annu_SCDPT5'!SCDPT5_92ENDIN_6</vt:lpstr>
      <vt:lpstr>'GMIC_2020-Annu_SCDPT5'!SCDPT5_92ENDIN_7</vt:lpstr>
      <vt:lpstr>'GMIC_2020-Annu_SCDPT5'!SCDPT5_92ENDIN_8</vt:lpstr>
      <vt:lpstr>'GMIC_2020-Annu_SCDPT5'!SCDPT5_92ENDIN_9</vt:lpstr>
      <vt:lpstr>'GMIC_2020-Annu_SCDPT5'!SCDPT5_9300000_Range</vt:lpstr>
      <vt:lpstr>'GMIC_2020-Annu_SCDPT5'!SCDPT5_9399999_10</vt:lpstr>
      <vt:lpstr>'GMIC_2020-Annu_SCDPT5'!SCDPT5_9399999_11</vt:lpstr>
      <vt:lpstr>'GMIC_2020-Annu_SCDPT5'!SCDPT5_9399999_12</vt:lpstr>
      <vt:lpstr>'GMIC_2020-Annu_SCDPT5'!SCDPT5_9399999_13</vt:lpstr>
      <vt:lpstr>'GMIC_2020-Annu_SCDPT5'!SCDPT5_9399999_14</vt:lpstr>
      <vt:lpstr>'GMIC_2020-Annu_SCDPT5'!SCDPT5_9399999_15</vt:lpstr>
      <vt:lpstr>'GMIC_2020-Annu_SCDPT5'!SCDPT5_9399999_16</vt:lpstr>
      <vt:lpstr>'GMIC_2020-Annu_SCDPT5'!SCDPT5_9399999_17</vt:lpstr>
      <vt:lpstr>'GMIC_2020-Annu_SCDPT5'!SCDPT5_9399999_18</vt:lpstr>
      <vt:lpstr>'GMIC_2020-Annu_SCDPT5'!SCDPT5_9399999_19</vt:lpstr>
      <vt:lpstr>'GMIC_2020-Annu_SCDPT5'!SCDPT5_9399999_20</vt:lpstr>
      <vt:lpstr>'GMIC_2020-Annu_SCDPT5'!SCDPT5_9399999_21</vt:lpstr>
      <vt:lpstr>'GMIC_2020-Annu_SCDPT5'!SCDPT5_9399999_9</vt:lpstr>
      <vt:lpstr>'GMIC_2020-Annu_SCDPT5'!SCDPT5_93BEGIN_1</vt:lpstr>
      <vt:lpstr>'GMIC_2020-Annu_SCDPT5'!SCDPT5_93BEGIN_10</vt:lpstr>
      <vt:lpstr>'GMIC_2020-Annu_SCDPT5'!SCDPT5_93BEGIN_11</vt:lpstr>
      <vt:lpstr>'GMIC_2020-Annu_SCDPT5'!SCDPT5_93BEGIN_12</vt:lpstr>
      <vt:lpstr>'GMIC_2020-Annu_SCDPT5'!SCDPT5_93BEGIN_13</vt:lpstr>
      <vt:lpstr>'GMIC_2020-Annu_SCDPT5'!SCDPT5_93BEGIN_14</vt:lpstr>
      <vt:lpstr>'GMIC_2020-Annu_SCDPT5'!SCDPT5_93BEGIN_15</vt:lpstr>
      <vt:lpstr>'GMIC_2020-Annu_SCDPT5'!SCDPT5_93BEGIN_16</vt:lpstr>
      <vt:lpstr>'GMIC_2020-Annu_SCDPT5'!SCDPT5_93BEGIN_17</vt:lpstr>
      <vt:lpstr>'GMIC_2020-Annu_SCDPT5'!SCDPT5_93BEGIN_18</vt:lpstr>
      <vt:lpstr>'GMIC_2020-Annu_SCDPT5'!SCDPT5_93BEGIN_19</vt:lpstr>
      <vt:lpstr>'GMIC_2020-Annu_SCDPT5'!SCDPT5_93BEGIN_2</vt:lpstr>
      <vt:lpstr>'GMIC_2020-Annu_SCDPT5'!SCDPT5_93BEGIN_20</vt:lpstr>
      <vt:lpstr>'GMIC_2020-Annu_SCDPT5'!SCDPT5_93BEGIN_21</vt:lpstr>
      <vt:lpstr>'GMIC_2020-Annu_SCDPT5'!SCDPT5_93BEGIN_22</vt:lpstr>
      <vt:lpstr>'GMIC_2020-Annu_SCDPT5'!SCDPT5_93BEGIN_23</vt:lpstr>
      <vt:lpstr>'GMIC_2020-Annu_SCDPT5'!SCDPT5_93BEGIN_24</vt:lpstr>
      <vt:lpstr>'GMIC_2020-Annu_SCDPT5'!SCDPT5_93BEGIN_25</vt:lpstr>
      <vt:lpstr>'GMIC_2020-Annu_SCDPT5'!SCDPT5_93BEGIN_26</vt:lpstr>
      <vt:lpstr>'GMIC_2020-Annu_SCDPT5'!SCDPT5_93BEGIN_3</vt:lpstr>
      <vt:lpstr>'GMIC_2020-Annu_SCDPT5'!SCDPT5_93BEGIN_4</vt:lpstr>
      <vt:lpstr>'GMIC_2020-Annu_SCDPT5'!SCDPT5_93BEGIN_5</vt:lpstr>
      <vt:lpstr>'GMIC_2020-Annu_SCDPT5'!SCDPT5_93BEGIN_6</vt:lpstr>
      <vt:lpstr>'GMIC_2020-Annu_SCDPT5'!SCDPT5_93BEGIN_7</vt:lpstr>
      <vt:lpstr>'GMIC_2020-Annu_SCDPT5'!SCDPT5_93BEGIN_8</vt:lpstr>
      <vt:lpstr>'GMIC_2020-Annu_SCDPT5'!SCDPT5_93BEGIN_9</vt:lpstr>
      <vt:lpstr>'GMIC_2020-Annu_SCDPT5'!SCDPT5_93ENDIN_10</vt:lpstr>
      <vt:lpstr>'GMIC_2020-Annu_SCDPT5'!SCDPT5_93ENDIN_11</vt:lpstr>
      <vt:lpstr>'GMIC_2020-Annu_SCDPT5'!SCDPT5_93ENDIN_12</vt:lpstr>
      <vt:lpstr>'GMIC_2020-Annu_SCDPT5'!SCDPT5_93ENDIN_13</vt:lpstr>
      <vt:lpstr>'GMIC_2020-Annu_SCDPT5'!SCDPT5_93ENDIN_14</vt:lpstr>
      <vt:lpstr>'GMIC_2020-Annu_SCDPT5'!SCDPT5_93ENDIN_15</vt:lpstr>
      <vt:lpstr>'GMIC_2020-Annu_SCDPT5'!SCDPT5_93ENDIN_16</vt:lpstr>
      <vt:lpstr>'GMIC_2020-Annu_SCDPT5'!SCDPT5_93ENDIN_17</vt:lpstr>
      <vt:lpstr>'GMIC_2020-Annu_SCDPT5'!SCDPT5_93ENDIN_18</vt:lpstr>
      <vt:lpstr>'GMIC_2020-Annu_SCDPT5'!SCDPT5_93ENDIN_19</vt:lpstr>
      <vt:lpstr>'GMIC_2020-Annu_SCDPT5'!SCDPT5_93ENDIN_2</vt:lpstr>
      <vt:lpstr>'GMIC_2020-Annu_SCDPT5'!SCDPT5_93ENDIN_20</vt:lpstr>
      <vt:lpstr>'GMIC_2020-Annu_SCDPT5'!SCDPT5_93ENDIN_21</vt:lpstr>
      <vt:lpstr>'GMIC_2020-Annu_SCDPT5'!SCDPT5_93ENDIN_22</vt:lpstr>
      <vt:lpstr>'GMIC_2020-Annu_SCDPT5'!SCDPT5_93ENDIN_23</vt:lpstr>
      <vt:lpstr>'GMIC_2020-Annu_SCDPT5'!SCDPT5_93ENDIN_24</vt:lpstr>
      <vt:lpstr>'GMIC_2020-Annu_SCDPT5'!SCDPT5_93ENDIN_25</vt:lpstr>
      <vt:lpstr>'GMIC_2020-Annu_SCDPT5'!SCDPT5_93ENDIN_26</vt:lpstr>
      <vt:lpstr>'GMIC_2020-Annu_SCDPT5'!SCDPT5_93ENDIN_3</vt:lpstr>
      <vt:lpstr>'GMIC_2020-Annu_SCDPT5'!SCDPT5_93ENDIN_4</vt:lpstr>
      <vt:lpstr>'GMIC_2020-Annu_SCDPT5'!SCDPT5_93ENDIN_5</vt:lpstr>
      <vt:lpstr>'GMIC_2020-Annu_SCDPT5'!SCDPT5_93ENDIN_6</vt:lpstr>
      <vt:lpstr>'GMIC_2020-Annu_SCDPT5'!SCDPT5_93ENDIN_7</vt:lpstr>
      <vt:lpstr>'GMIC_2020-Annu_SCDPT5'!SCDPT5_93ENDIN_8</vt:lpstr>
      <vt:lpstr>'GMIC_2020-Annu_SCDPT5'!SCDPT5_93ENDIN_9</vt:lpstr>
      <vt:lpstr>'GMIC_2020-Annu_SCDPT5'!SCDPT5_9400000_Range</vt:lpstr>
      <vt:lpstr>'GMIC_2020-Annu_SCDPT5'!SCDPT5_9499999_10</vt:lpstr>
      <vt:lpstr>'GMIC_2020-Annu_SCDPT5'!SCDPT5_9499999_11</vt:lpstr>
      <vt:lpstr>'GMIC_2020-Annu_SCDPT5'!SCDPT5_9499999_12</vt:lpstr>
      <vt:lpstr>'GMIC_2020-Annu_SCDPT5'!SCDPT5_9499999_13</vt:lpstr>
      <vt:lpstr>'GMIC_2020-Annu_SCDPT5'!SCDPT5_9499999_14</vt:lpstr>
      <vt:lpstr>'GMIC_2020-Annu_SCDPT5'!SCDPT5_9499999_15</vt:lpstr>
      <vt:lpstr>'GMIC_2020-Annu_SCDPT5'!SCDPT5_9499999_16</vt:lpstr>
      <vt:lpstr>'GMIC_2020-Annu_SCDPT5'!SCDPT5_9499999_17</vt:lpstr>
      <vt:lpstr>'GMIC_2020-Annu_SCDPT5'!SCDPT5_9499999_18</vt:lpstr>
      <vt:lpstr>'GMIC_2020-Annu_SCDPT5'!SCDPT5_9499999_19</vt:lpstr>
      <vt:lpstr>'GMIC_2020-Annu_SCDPT5'!SCDPT5_9499999_20</vt:lpstr>
      <vt:lpstr>'GMIC_2020-Annu_SCDPT5'!SCDPT5_9499999_21</vt:lpstr>
      <vt:lpstr>'GMIC_2020-Annu_SCDPT5'!SCDPT5_9499999_9</vt:lpstr>
      <vt:lpstr>'GMIC_2020-Annu_SCDPT5'!SCDPT5_94BEGIN_1</vt:lpstr>
      <vt:lpstr>'GMIC_2020-Annu_SCDPT5'!SCDPT5_94BEGIN_10</vt:lpstr>
      <vt:lpstr>'GMIC_2020-Annu_SCDPT5'!SCDPT5_94BEGIN_11</vt:lpstr>
      <vt:lpstr>'GMIC_2020-Annu_SCDPT5'!SCDPT5_94BEGIN_12</vt:lpstr>
      <vt:lpstr>'GMIC_2020-Annu_SCDPT5'!SCDPT5_94BEGIN_13</vt:lpstr>
      <vt:lpstr>'GMIC_2020-Annu_SCDPT5'!SCDPT5_94BEGIN_14</vt:lpstr>
      <vt:lpstr>'GMIC_2020-Annu_SCDPT5'!SCDPT5_94BEGIN_15</vt:lpstr>
      <vt:lpstr>'GMIC_2020-Annu_SCDPT5'!SCDPT5_94BEGIN_16</vt:lpstr>
      <vt:lpstr>'GMIC_2020-Annu_SCDPT5'!SCDPT5_94BEGIN_17</vt:lpstr>
      <vt:lpstr>'GMIC_2020-Annu_SCDPT5'!SCDPT5_94BEGIN_18</vt:lpstr>
      <vt:lpstr>'GMIC_2020-Annu_SCDPT5'!SCDPT5_94BEGIN_19</vt:lpstr>
      <vt:lpstr>'GMIC_2020-Annu_SCDPT5'!SCDPT5_94BEGIN_2</vt:lpstr>
      <vt:lpstr>'GMIC_2020-Annu_SCDPT5'!SCDPT5_94BEGIN_20</vt:lpstr>
      <vt:lpstr>'GMIC_2020-Annu_SCDPT5'!SCDPT5_94BEGIN_21</vt:lpstr>
      <vt:lpstr>'GMIC_2020-Annu_SCDPT5'!SCDPT5_94BEGIN_22</vt:lpstr>
      <vt:lpstr>'GMIC_2020-Annu_SCDPT5'!SCDPT5_94BEGIN_23</vt:lpstr>
      <vt:lpstr>'GMIC_2020-Annu_SCDPT5'!SCDPT5_94BEGIN_24</vt:lpstr>
      <vt:lpstr>'GMIC_2020-Annu_SCDPT5'!SCDPT5_94BEGIN_25</vt:lpstr>
      <vt:lpstr>'GMIC_2020-Annu_SCDPT5'!SCDPT5_94BEGIN_26</vt:lpstr>
      <vt:lpstr>'GMIC_2020-Annu_SCDPT5'!SCDPT5_94BEGIN_3</vt:lpstr>
      <vt:lpstr>'GMIC_2020-Annu_SCDPT5'!SCDPT5_94BEGIN_4</vt:lpstr>
      <vt:lpstr>'GMIC_2020-Annu_SCDPT5'!SCDPT5_94BEGIN_5</vt:lpstr>
      <vt:lpstr>'GMIC_2020-Annu_SCDPT5'!SCDPT5_94BEGIN_6</vt:lpstr>
      <vt:lpstr>'GMIC_2020-Annu_SCDPT5'!SCDPT5_94BEGIN_7</vt:lpstr>
      <vt:lpstr>'GMIC_2020-Annu_SCDPT5'!SCDPT5_94BEGIN_8</vt:lpstr>
      <vt:lpstr>'GMIC_2020-Annu_SCDPT5'!SCDPT5_94BEGIN_9</vt:lpstr>
      <vt:lpstr>'GMIC_2020-Annu_SCDPT5'!SCDPT5_94ENDIN_10</vt:lpstr>
      <vt:lpstr>'GMIC_2020-Annu_SCDPT5'!SCDPT5_94ENDIN_11</vt:lpstr>
      <vt:lpstr>'GMIC_2020-Annu_SCDPT5'!SCDPT5_94ENDIN_12</vt:lpstr>
      <vt:lpstr>'GMIC_2020-Annu_SCDPT5'!SCDPT5_94ENDIN_13</vt:lpstr>
      <vt:lpstr>'GMIC_2020-Annu_SCDPT5'!SCDPT5_94ENDIN_14</vt:lpstr>
      <vt:lpstr>'GMIC_2020-Annu_SCDPT5'!SCDPT5_94ENDIN_15</vt:lpstr>
      <vt:lpstr>'GMIC_2020-Annu_SCDPT5'!SCDPT5_94ENDIN_16</vt:lpstr>
      <vt:lpstr>'GMIC_2020-Annu_SCDPT5'!SCDPT5_94ENDIN_17</vt:lpstr>
      <vt:lpstr>'GMIC_2020-Annu_SCDPT5'!SCDPT5_94ENDIN_18</vt:lpstr>
      <vt:lpstr>'GMIC_2020-Annu_SCDPT5'!SCDPT5_94ENDIN_19</vt:lpstr>
      <vt:lpstr>'GMIC_2020-Annu_SCDPT5'!SCDPT5_94ENDIN_2</vt:lpstr>
      <vt:lpstr>'GMIC_2020-Annu_SCDPT5'!SCDPT5_94ENDIN_20</vt:lpstr>
      <vt:lpstr>'GMIC_2020-Annu_SCDPT5'!SCDPT5_94ENDIN_21</vt:lpstr>
      <vt:lpstr>'GMIC_2020-Annu_SCDPT5'!SCDPT5_94ENDIN_22</vt:lpstr>
      <vt:lpstr>'GMIC_2020-Annu_SCDPT5'!SCDPT5_94ENDIN_23</vt:lpstr>
      <vt:lpstr>'GMIC_2020-Annu_SCDPT5'!SCDPT5_94ENDIN_24</vt:lpstr>
      <vt:lpstr>'GMIC_2020-Annu_SCDPT5'!SCDPT5_94ENDIN_25</vt:lpstr>
      <vt:lpstr>'GMIC_2020-Annu_SCDPT5'!SCDPT5_94ENDIN_26</vt:lpstr>
      <vt:lpstr>'GMIC_2020-Annu_SCDPT5'!SCDPT5_94ENDIN_3</vt:lpstr>
      <vt:lpstr>'GMIC_2020-Annu_SCDPT5'!SCDPT5_94ENDIN_4</vt:lpstr>
      <vt:lpstr>'GMIC_2020-Annu_SCDPT5'!SCDPT5_94ENDIN_5</vt:lpstr>
      <vt:lpstr>'GMIC_2020-Annu_SCDPT5'!SCDPT5_94ENDIN_6</vt:lpstr>
      <vt:lpstr>'GMIC_2020-Annu_SCDPT5'!SCDPT5_94ENDIN_7</vt:lpstr>
      <vt:lpstr>'GMIC_2020-Annu_SCDPT5'!SCDPT5_94ENDIN_8</vt:lpstr>
      <vt:lpstr>'GMIC_2020-Annu_SCDPT5'!SCDPT5_94ENDIN_9</vt:lpstr>
      <vt:lpstr>'GMIC_2020-Annu_SCDPT5'!SCDPT5_9500000_Range</vt:lpstr>
      <vt:lpstr>'GMIC_2020-Annu_SCDPT5'!SCDPT5_9599999_10</vt:lpstr>
      <vt:lpstr>'GMIC_2020-Annu_SCDPT5'!SCDPT5_9599999_11</vt:lpstr>
      <vt:lpstr>'GMIC_2020-Annu_SCDPT5'!SCDPT5_9599999_12</vt:lpstr>
      <vt:lpstr>'GMIC_2020-Annu_SCDPT5'!SCDPT5_9599999_13</vt:lpstr>
      <vt:lpstr>'GMIC_2020-Annu_SCDPT5'!SCDPT5_9599999_14</vt:lpstr>
      <vt:lpstr>'GMIC_2020-Annu_SCDPT5'!SCDPT5_9599999_15</vt:lpstr>
      <vt:lpstr>'GMIC_2020-Annu_SCDPT5'!SCDPT5_9599999_16</vt:lpstr>
      <vt:lpstr>'GMIC_2020-Annu_SCDPT5'!SCDPT5_9599999_17</vt:lpstr>
      <vt:lpstr>'GMIC_2020-Annu_SCDPT5'!SCDPT5_9599999_18</vt:lpstr>
      <vt:lpstr>'GMIC_2020-Annu_SCDPT5'!SCDPT5_9599999_19</vt:lpstr>
      <vt:lpstr>'GMIC_2020-Annu_SCDPT5'!SCDPT5_9599999_20</vt:lpstr>
      <vt:lpstr>'GMIC_2020-Annu_SCDPT5'!SCDPT5_9599999_21</vt:lpstr>
      <vt:lpstr>'GMIC_2020-Annu_SCDPT5'!SCDPT5_9599999_9</vt:lpstr>
      <vt:lpstr>'GMIC_2020-Annu_SCDPT5'!SCDPT5_95BEGIN_1</vt:lpstr>
      <vt:lpstr>'GMIC_2020-Annu_SCDPT5'!SCDPT5_95BEGIN_10</vt:lpstr>
      <vt:lpstr>'GMIC_2020-Annu_SCDPT5'!SCDPT5_95BEGIN_11</vt:lpstr>
      <vt:lpstr>'GMIC_2020-Annu_SCDPT5'!SCDPT5_95BEGIN_12</vt:lpstr>
      <vt:lpstr>'GMIC_2020-Annu_SCDPT5'!SCDPT5_95BEGIN_13</vt:lpstr>
      <vt:lpstr>'GMIC_2020-Annu_SCDPT5'!SCDPT5_95BEGIN_14</vt:lpstr>
      <vt:lpstr>'GMIC_2020-Annu_SCDPT5'!SCDPT5_95BEGIN_15</vt:lpstr>
      <vt:lpstr>'GMIC_2020-Annu_SCDPT5'!SCDPT5_95BEGIN_16</vt:lpstr>
      <vt:lpstr>'GMIC_2020-Annu_SCDPT5'!SCDPT5_95BEGIN_17</vt:lpstr>
      <vt:lpstr>'GMIC_2020-Annu_SCDPT5'!SCDPT5_95BEGIN_18</vt:lpstr>
      <vt:lpstr>'GMIC_2020-Annu_SCDPT5'!SCDPT5_95BEGIN_19</vt:lpstr>
      <vt:lpstr>'GMIC_2020-Annu_SCDPT5'!SCDPT5_95BEGIN_2</vt:lpstr>
      <vt:lpstr>'GMIC_2020-Annu_SCDPT5'!SCDPT5_95BEGIN_20</vt:lpstr>
      <vt:lpstr>'GMIC_2020-Annu_SCDPT5'!SCDPT5_95BEGIN_21</vt:lpstr>
      <vt:lpstr>'GMIC_2020-Annu_SCDPT5'!SCDPT5_95BEGIN_22</vt:lpstr>
      <vt:lpstr>'GMIC_2020-Annu_SCDPT5'!SCDPT5_95BEGIN_23</vt:lpstr>
      <vt:lpstr>'GMIC_2020-Annu_SCDPT5'!SCDPT5_95BEGIN_24</vt:lpstr>
      <vt:lpstr>'GMIC_2020-Annu_SCDPT5'!SCDPT5_95BEGIN_25</vt:lpstr>
      <vt:lpstr>'GMIC_2020-Annu_SCDPT5'!SCDPT5_95BEGIN_26</vt:lpstr>
      <vt:lpstr>'GMIC_2020-Annu_SCDPT5'!SCDPT5_95BEGIN_3</vt:lpstr>
      <vt:lpstr>'GMIC_2020-Annu_SCDPT5'!SCDPT5_95BEGIN_4</vt:lpstr>
      <vt:lpstr>'GMIC_2020-Annu_SCDPT5'!SCDPT5_95BEGIN_5</vt:lpstr>
      <vt:lpstr>'GMIC_2020-Annu_SCDPT5'!SCDPT5_95BEGIN_6</vt:lpstr>
      <vt:lpstr>'GMIC_2020-Annu_SCDPT5'!SCDPT5_95BEGIN_7</vt:lpstr>
      <vt:lpstr>'GMIC_2020-Annu_SCDPT5'!SCDPT5_95BEGIN_8</vt:lpstr>
      <vt:lpstr>'GMIC_2020-Annu_SCDPT5'!SCDPT5_95BEGIN_9</vt:lpstr>
      <vt:lpstr>'GMIC_2020-Annu_SCDPT5'!SCDPT5_95ENDIN_10</vt:lpstr>
      <vt:lpstr>'GMIC_2020-Annu_SCDPT5'!SCDPT5_95ENDIN_11</vt:lpstr>
      <vt:lpstr>'GMIC_2020-Annu_SCDPT5'!SCDPT5_95ENDIN_12</vt:lpstr>
      <vt:lpstr>'GMIC_2020-Annu_SCDPT5'!SCDPT5_95ENDIN_13</vt:lpstr>
      <vt:lpstr>'GMIC_2020-Annu_SCDPT5'!SCDPT5_95ENDIN_14</vt:lpstr>
      <vt:lpstr>'GMIC_2020-Annu_SCDPT5'!SCDPT5_95ENDIN_15</vt:lpstr>
      <vt:lpstr>'GMIC_2020-Annu_SCDPT5'!SCDPT5_95ENDIN_16</vt:lpstr>
      <vt:lpstr>'GMIC_2020-Annu_SCDPT5'!SCDPT5_95ENDIN_17</vt:lpstr>
      <vt:lpstr>'GMIC_2020-Annu_SCDPT5'!SCDPT5_95ENDIN_18</vt:lpstr>
      <vt:lpstr>'GMIC_2020-Annu_SCDPT5'!SCDPT5_95ENDIN_19</vt:lpstr>
      <vt:lpstr>'GMIC_2020-Annu_SCDPT5'!SCDPT5_95ENDIN_2</vt:lpstr>
      <vt:lpstr>'GMIC_2020-Annu_SCDPT5'!SCDPT5_95ENDIN_20</vt:lpstr>
      <vt:lpstr>'GMIC_2020-Annu_SCDPT5'!SCDPT5_95ENDIN_21</vt:lpstr>
      <vt:lpstr>'GMIC_2020-Annu_SCDPT5'!SCDPT5_95ENDIN_22</vt:lpstr>
      <vt:lpstr>'GMIC_2020-Annu_SCDPT5'!SCDPT5_95ENDIN_23</vt:lpstr>
      <vt:lpstr>'GMIC_2020-Annu_SCDPT5'!SCDPT5_95ENDIN_24</vt:lpstr>
      <vt:lpstr>'GMIC_2020-Annu_SCDPT5'!SCDPT5_95ENDIN_25</vt:lpstr>
      <vt:lpstr>'GMIC_2020-Annu_SCDPT5'!SCDPT5_95ENDIN_26</vt:lpstr>
      <vt:lpstr>'GMIC_2020-Annu_SCDPT5'!SCDPT5_95ENDIN_3</vt:lpstr>
      <vt:lpstr>'GMIC_2020-Annu_SCDPT5'!SCDPT5_95ENDIN_4</vt:lpstr>
      <vt:lpstr>'GMIC_2020-Annu_SCDPT5'!SCDPT5_95ENDIN_5</vt:lpstr>
      <vt:lpstr>'GMIC_2020-Annu_SCDPT5'!SCDPT5_95ENDIN_6</vt:lpstr>
      <vt:lpstr>'GMIC_2020-Annu_SCDPT5'!SCDPT5_95ENDIN_7</vt:lpstr>
      <vt:lpstr>'GMIC_2020-Annu_SCDPT5'!SCDPT5_95ENDIN_8</vt:lpstr>
      <vt:lpstr>'GMIC_2020-Annu_SCDPT5'!SCDPT5_95ENDIN_9</vt:lpstr>
      <vt:lpstr>'GMIC_2020-Annu_SCDPT5'!SCDPT5_9600000_Range</vt:lpstr>
      <vt:lpstr>'GMIC_2020-Annu_SCDPT5'!SCDPT5_9699999_10</vt:lpstr>
      <vt:lpstr>'GMIC_2020-Annu_SCDPT5'!SCDPT5_9699999_11</vt:lpstr>
      <vt:lpstr>'GMIC_2020-Annu_SCDPT5'!SCDPT5_9699999_12</vt:lpstr>
      <vt:lpstr>'GMIC_2020-Annu_SCDPT5'!SCDPT5_9699999_13</vt:lpstr>
      <vt:lpstr>'GMIC_2020-Annu_SCDPT5'!SCDPT5_9699999_14</vt:lpstr>
      <vt:lpstr>'GMIC_2020-Annu_SCDPT5'!SCDPT5_9699999_15</vt:lpstr>
      <vt:lpstr>'GMIC_2020-Annu_SCDPT5'!SCDPT5_9699999_16</vt:lpstr>
      <vt:lpstr>'GMIC_2020-Annu_SCDPT5'!SCDPT5_9699999_17</vt:lpstr>
      <vt:lpstr>'GMIC_2020-Annu_SCDPT5'!SCDPT5_9699999_18</vt:lpstr>
      <vt:lpstr>'GMIC_2020-Annu_SCDPT5'!SCDPT5_9699999_19</vt:lpstr>
      <vt:lpstr>'GMIC_2020-Annu_SCDPT5'!SCDPT5_9699999_20</vt:lpstr>
      <vt:lpstr>'GMIC_2020-Annu_SCDPT5'!SCDPT5_9699999_21</vt:lpstr>
      <vt:lpstr>'GMIC_2020-Annu_SCDPT5'!SCDPT5_9699999_9</vt:lpstr>
      <vt:lpstr>'GMIC_2020-Annu_SCDPT5'!SCDPT5_96BEGIN_1</vt:lpstr>
      <vt:lpstr>'GMIC_2020-Annu_SCDPT5'!SCDPT5_96BEGIN_10</vt:lpstr>
      <vt:lpstr>'GMIC_2020-Annu_SCDPT5'!SCDPT5_96BEGIN_11</vt:lpstr>
      <vt:lpstr>'GMIC_2020-Annu_SCDPT5'!SCDPT5_96BEGIN_12</vt:lpstr>
      <vt:lpstr>'GMIC_2020-Annu_SCDPT5'!SCDPT5_96BEGIN_13</vt:lpstr>
      <vt:lpstr>'GMIC_2020-Annu_SCDPT5'!SCDPT5_96BEGIN_14</vt:lpstr>
      <vt:lpstr>'GMIC_2020-Annu_SCDPT5'!SCDPT5_96BEGIN_15</vt:lpstr>
      <vt:lpstr>'GMIC_2020-Annu_SCDPT5'!SCDPT5_96BEGIN_16</vt:lpstr>
      <vt:lpstr>'GMIC_2020-Annu_SCDPT5'!SCDPT5_96BEGIN_17</vt:lpstr>
      <vt:lpstr>'GMIC_2020-Annu_SCDPT5'!SCDPT5_96BEGIN_18</vt:lpstr>
      <vt:lpstr>'GMIC_2020-Annu_SCDPT5'!SCDPT5_96BEGIN_19</vt:lpstr>
      <vt:lpstr>'GMIC_2020-Annu_SCDPT5'!SCDPT5_96BEGIN_2</vt:lpstr>
      <vt:lpstr>'GMIC_2020-Annu_SCDPT5'!SCDPT5_96BEGIN_20</vt:lpstr>
      <vt:lpstr>'GMIC_2020-Annu_SCDPT5'!SCDPT5_96BEGIN_21</vt:lpstr>
      <vt:lpstr>'GMIC_2020-Annu_SCDPT5'!SCDPT5_96BEGIN_22</vt:lpstr>
      <vt:lpstr>'GMIC_2020-Annu_SCDPT5'!SCDPT5_96BEGIN_23</vt:lpstr>
      <vt:lpstr>'GMIC_2020-Annu_SCDPT5'!SCDPT5_96BEGIN_24</vt:lpstr>
      <vt:lpstr>'GMIC_2020-Annu_SCDPT5'!SCDPT5_96BEGIN_25</vt:lpstr>
      <vt:lpstr>'GMIC_2020-Annu_SCDPT5'!SCDPT5_96BEGIN_26</vt:lpstr>
      <vt:lpstr>'GMIC_2020-Annu_SCDPT5'!SCDPT5_96BEGIN_3</vt:lpstr>
      <vt:lpstr>'GMIC_2020-Annu_SCDPT5'!SCDPT5_96BEGIN_4</vt:lpstr>
      <vt:lpstr>'GMIC_2020-Annu_SCDPT5'!SCDPT5_96BEGIN_5</vt:lpstr>
      <vt:lpstr>'GMIC_2020-Annu_SCDPT5'!SCDPT5_96BEGIN_6</vt:lpstr>
      <vt:lpstr>'GMIC_2020-Annu_SCDPT5'!SCDPT5_96BEGIN_7</vt:lpstr>
      <vt:lpstr>'GMIC_2020-Annu_SCDPT5'!SCDPT5_96BEGIN_8</vt:lpstr>
      <vt:lpstr>'GMIC_2020-Annu_SCDPT5'!SCDPT5_96BEGIN_9</vt:lpstr>
      <vt:lpstr>'GMIC_2020-Annu_SCDPT5'!SCDPT5_96ENDIN_10</vt:lpstr>
      <vt:lpstr>'GMIC_2020-Annu_SCDPT5'!SCDPT5_96ENDIN_11</vt:lpstr>
      <vt:lpstr>'GMIC_2020-Annu_SCDPT5'!SCDPT5_96ENDIN_12</vt:lpstr>
      <vt:lpstr>'GMIC_2020-Annu_SCDPT5'!SCDPT5_96ENDIN_13</vt:lpstr>
      <vt:lpstr>'GMIC_2020-Annu_SCDPT5'!SCDPT5_96ENDIN_14</vt:lpstr>
      <vt:lpstr>'GMIC_2020-Annu_SCDPT5'!SCDPT5_96ENDIN_15</vt:lpstr>
      <vt:lpstr>'GMIC_2020-Annu_SCDPT5'!SCDPT5_96ENDIN_16</vt:lpstr>
      <vt:lpstr>'GMIC_2020-Annu_SCDPT5'!SCDPT5_96ENDIN_17</vt:lpstr>
      <vt:lpstr>'GMIC_2020-Annu_SCDPT5'!SCDPT5_96ENDIN_18</vt:lpstr>
      <vt:lpstr>'GMIC_2020-Annu_SCDPT5'!SCDPT5_96ENDIN_19</vt:lpstr>
      <vt:lpstr>'GMIC_2020-Annu_SCDPT5'!SCDPT5_96ENDIN_2</vt:lpstr>
      <vt:lpstr>'GMIC_2020-Annu_SCDPT5'!SCDPT5_96ENDIN_20</vt:lpstr>
      <vt:lpstr>'GMIC_2020-Annu_SCDPT5'!SCDPT5_96ENDIN_21</vt:lpstr>
      <vt:lpstr>'GMIC_2020-Annu_SCDPT5'!SCDPT5_96ENDIN_22</vt:lpstr>
      <vt:lpstr>'GMIC_2020-Annu_SCDPT5'!SCDPT5_96ENDIN_23</vt:lpstr>
      <vt:lpstr>'GMIC_2020-Annu_SCDPT5'!SCDPT5_96ENDIN_24</vt:lpstr>
      <vt:lpstr>'GMIC_2020-Annu_SCDPT5'!SCDPT5_96ENDIN_25</vt:lpstr>
      <vt:lpstr>'GMIC_2020-Annu_SCDPT5'!SCDPT5_96ENDIN_26</vt:lpstr>
      <vt:lpstr>'GMIC_2020-Annu_SCDPT5'!SCDPT5_96ENDIN_3</vt:lpstr>
      <vt:lpstr>'GMIC_2020-Annu_SCDPT5'!SCDPT5_96ENDIN_4</vt:lpstr>
      <vt:lpstr>'GMIC_2020-Annu_SCDPT5'!SCDPT5_96ENDIN_5</vt:lpstr>
      <vt:lpstr>'GMIC_2020-Annu_SCDPT5'!SCDPT5_96ENDIN_6</vt:lpstr>
      <vt:lpstr>'GMIC_2020-Annu_SCDPT5'!SCDPT5_96ENDIN_7</vt:lpstr>
      <vt:lpstr>'GMIC_2020-Annu_SCDPT5'!SCDPT5_96ENDIN_8</vt:lpstr>
      <vt:lpstr>'GMIC_2020-Annu_SCDPT5'!SCDPT5_96ENDIN_9</vt:lpstr>
      <vt:lpstr>'GMIC_2020-Annu_SCDPT5'!SCDPT5_9799998_10</vt:lpstr>
      <vt:lpstr>'GMIC_2020-Annu_SCDPT5'!SCDPT5_9799998_11</vt:lpstr>
      <vt:lpstr>'GMIC_2020-Annu_SCDPT5'!SCDPT5_9799998_12</vt:lpstr>
      <vt:lpstr>'GMIC_2020-Annu_SCDPT5'!SCDPT5_9799998_13</vt:lpstr>
      <vt:lpstr>'GMIC_2020-Annu_SCDPT5'!SCDPT5_9799998_14</vt:lpstr>
      <vt:lpstr>'GMIC_2020-Annu_SCDPT5'!SCDPT5_9799998_15</vt:lpstr>
      <vt:lpstr>'GMIC_2020-Annu_SCDPT5'!SCDPT5_9799998_16</vt:lpstr>
      <vt:lpstr>'GMIC_2020-Annu_SCDPT5'!SCDPT5_9799998_17</vt:lpstr>
      <vt:lpstr>'GMIC_2020-Annu_SCDPT5'!SCDPT5_9799998_18</vt:lpstr>
      <vt:lpstr>'GMIC_2020-Annu_SCDPT5'!SCDPT5_9799998_19</vt:lpstr>
      <vt:lpstr>'GMIC_2020-Annu_SCDPT5'!SCDPT5_9799998_20</vt:lpstr>
      <vt:lpstr>'GMIC_2020-Annu_SCDPT5'!SCDPT5_9799998_21</vt:lpstr>
      <vt:lpstr>'GMIC_2020-Annu_SCDPT5'!SCDPT5_9799998_9</vt:lpstr>
      <vt:lpstr>'GMIC_2020-Annu_SCDPT5'!SCDPT5_9899999_10</vt:lpstr>
      <vt:lpstr>'GMIC_2020-Annu_SCDPT5'!SCDPT5_9899999_11</vt:lpstr>
      <vt:lpstr>'GMIC_2020-Annu_SCDPT5'!SCDPT5_9899999_12</vt:lpstr>
      <vt:lpstr>'GMIC_2020-Annu_SCDPT5'!SCDPT5_9899999_13</vt:lpstr>
      <vt:lpstr>'GMIC_2020-Annu_SCDPT5'!SCDPT5_9899999_14</vt:lpstr>
      <vt:lpstr>'GMIC_2020-Annu_SCDPT5'!SCDPT5_9899999_15</vt:lpstr>
      <vt:lpstr>'GMIC_2020-Annu_SCDPT5'!SCDPT5_9899999_16</vt:lpstr>
      <vt:lpstr>'GMIC_2020-Annu_SCDPT5'!SCDPT5_9899999_17</vt:lpstr>
      <vt:lpstr>'GMIC_2020-Annu_SCDPT5'!SCDPT5_9899999_18</vt:lpstr>
      <vt:lpstr>'GMIC_2020-Annu_SCDPT5'!SCDPT5_9899999_19</vt:lpstr>
      <vt:lpstr>'GMIC_2020-Annu_SCDPT5'!SCDPT5_9899999_20</vt:lpstr>
      <vt:lpstr>'GMIC_2020-Annu_SCDPT5'!SCDPT5_9899999_21</vt:lpstr>
      <vt:lpstr>'GMIC_2020-Annu_SCDPT5'!SCDPT5_9899999_9</vt:lpstr>
      <vt:lpstr>'GMIC_2020-Annu_SCDPT5'!SCDPT5_9999999_10</vt:lpstr>
      <vt:lpstr>'GMIC_2020-Annu_SCDPT5'!SCDPT5_9999999_11</vt:lpstr>
      <vt:lpstr>'GMIC_2020-Annu_SCDPT5'!SCDPT5_9999999_12</vt:lpstr>
      <vt:lpstr>'GMIC_2020-Annu_SCDPT5'!SCDPT5_9999999_13</vt:lpstr>
      <vt:lpstr>'GMIC_2020-Annu_SCDPT5'!SCDPT5_9999999_14</vt:lpstr>
      <vt:lpstr>'GMIC_2020-Annu_SCDPT5'!SCDPT5_9999999_15</vt:lpstr>
      <vt:lpstr>'GMIC_2020-Annu_SCDPT5'!SCDPT5_9999999_16</vt:lpstr>
      <vt:lpstr>'GMIC_2020-Annu_SCDPT5'!SCDPT5_9999999_17</vt:lpstr>
      <vt:lpstr>'GMIC_2020-Annu_SCDPT5'!SCDPT5_9999999_18</vt:lpstr>
      <vt:lpstr>'GMIC_2020-Annu_SCDPT5'!SCDPT5_9999999_19</vt:lpstr>
      <vt:lpstr>'GMIC_2020-Annu_SCDPT5'!SCDPT5_9999999_20</vt:lpstr>
      <vt:lpstr>'GMIC_2020-Annu_SCDPT5'!SCDPT5_9999999_21</vt:lpstr>
      <vt:lpstr>'GMIC_2020-Annu_SCDPT5'!SCDPT5_9999999_9</vt:lpstr>
      <vt:lpstr>'GMIC_2020-Annu_SCDPT6SN1'!SCDPT6SN1_0100000_Range</vt:lpstr>
      <vt:lpstr>'GMIC_2020-Annu_SCDPT6SN1'!SCDPT6SN1_0199999_10</vt:lpstr>
      <vt:lpstr>'GMIC_2020-Annu_SCDPT6SN1'!SCDPT6SN1_0199999_8</vt:lpstr>
      <vt:lpstr>'GMIC_2020-Annu_SCDPT6SN1'!SCDPT6SN1_0199999_9</vt:lpstr>
      <vt:lpstr>'GMIC_2020-Annu_SCDPT6SN1'!SCDPT6SN1_01BEGIN_1</vt:lpstr>
      <vt:lpstr>'GMIC_2020-Annu_SCDPT6SN1'!SCDPT6SN1_01BEGIN_10</vt:lpstr>
      <vt:lpstr>'GMIC_2020-Annu_SCDPT6SN1'!SCDPT6SN1_01BEGIN_11</vt:lpstr>
      <vt:lpstr>'GMIC_2020-Annu_SCDPT6SN1'!SCDPT6SN1_01BEGIN_12</vt:lpstr>
      <vt:lpstr>'GMIC_2020-Annu_SCDPT6SN1'!SCDPT6SN1_01BEGIN_13</vt:lpstr>
      <vt:lpstr>'GMIC_2020-Annu_SCDPT6SN1'!SCDPT6SN1_01BEGIN_14</vt:lpstr>
      <vt:lpstr>'GMIC_2020-Annu_SCDPT6SN1'!SCDPT6SN1_01BEGIN_15</vt:lpstr>
      <vt:lpstr>'GMIC_2020-Annu_SCDPT6SN1'!SCDPT6SN1_01BEGIN_16</vt:lpstr>
      <vt:lpstr>'GMIC_2020-Annu_SCDPT6SN1'!SCDPT6SN1_01BEGIN_2</vt:lpstr>
      <vt:lpstr>'GMIC_2020-Annu_SCDPT6SN1'!SCDPT6SN1_01BEGIN_3</vt:lpstr>
      <vt:lpstr>'GMIC_2020-Annu_SCDPT6SN1'!SCDPT6SN1_01BEGIN_4</vt:lpstr>
      <vt:lpstr>'GMIC_2020-Annu_SCDPT6SN1'!SCDPT6SN1_01BEGIN_5</vt:lpstr>
      <vt:lpstr>'GMIC_2020-Annu_SCDPT6SN1'!SCDPT6SN1_01BEGIN_6</vt:lpstr>
      <vt:lpstr>'GMIC_2020-Annu_SCDPT6SN1'!SCDPT6SN1_01BEGIN_7</vt:lpstr>
      <vt:lpstr>'GMIC_2020-Annu_SCDPT6SN1'!SCDPT6SN1_01BEGIN_8</vt:lpstr>
      <vt:lpstr>'GMIC_2020-Annu_SCDPT6SN1'!SCDPT6SN1_01BEGIN_9</vt:lpstr>
      <vt:lpstr>'GMIC_2020-Annu_SCDPT6SN1'!SCDPT6SN1_01ENDIN_10</vt:lpstr>
      <vt:lpstr>'GMIC_2020-Annu_SCDPT6SN1'!SCDPT6SN1_01ENDIN_11</vt:lpstr>
      <vt:lpstr>'GMIC_2020-Annu_SCDPT6SN1'!SCDPT6SN1_01ENDIN_12</vt:lpstr>
      <vt:lpstr>'GMIC_2020-Annu_SCDPT6SN1'!SCDPT6SN1_01ENDIN_13</vt:lpstr>
      <vt:lpstr>'GMIC_2020-Annu_SCDPT6SN1'!SCDPT6SN1_01ENDIN_14</vt:lpstr>
      <vt:lpstr>'GMIC_2020-Annu_SCDPT6SN1'!SCDPT6SN1_01ENDIN_15</vt:lpstr>
      <vt:lpstr>'GMIC_2020-Annu_SCDPT6SN1'!SCDPT6SN1_01ENDIN_16</vt:lpstr>
      <vt:lpstr>'GMIC_2020-Annu_SCDPT6SN1'!SCDPT6SN1_01ENDIN_2</vt:lpstr>
      <vt:lpstr>'GMIC_2020-Annu_SCDPT6SN1'!SCDPT6SN1_01ENDIN_3</vt:lpstr>
      <vt:lpstr>'GMIC_2020-Annu_SCDPT6SN1'!SCDPT6SN1_01ENDIN_4</vt:lpstr>
      <vt:lpstr>'GMIC_2020-Annu_SCDPT6SN1'!SCDPT6SN1_01ENDIN_5</vt:lpstr>
      <vt:lpstr>'GMIC_2020-Annu_SCDPT6SN1'!SCDPT6SN1_01ENDIN_6</vt:lpstr>
      <vt:lpstr>'GMIC_2020-Annu_SCDPT6SN1'!SCDPT6SN1_01ENDIN_7</vt:lpstr>
      <vt:lpstr>'GMIC_2020-Annu_SCDPT6SN1'!SCDPT6SN1_01ENDIN_8</vt:lpstr>
      <vt:lpstr>'GMIC_2020-Annu_SCDPT6SN1'!SCDPT6SN1_01ENDIN_9</vt:lpstr>
      <vt:lpstr>'GMIC_2020-Annu_SCDPT6SN1'!SCDPT6SN1_0200000_Range</vt:lpstr>
      <vt:lpstr>'GMIC_2020-Annu_SCDPT6SN1'!SCDPT6SN1_0299999_10</vt:lpstr>
      <vt:lpstr>'GMIC_2020-Annu_SCDPT6SN1'!SCDPT6SN1_0299999_8</vt:lpstr>
      <vt:lpstr>'GMIC_2020-Annu_SCDPT6SN1'!SCDPT6SN1_0299999_9</vt:lpstr>
      <vt:lpstr>'GMIC_2020-Annu_SCDPT6SN1'!SCDPT6SN1_02BEGIN_1</vt:lpstr>
      <vt:lpstr>'GMIC_2020-Annu_SCDPT6SN1'!SCDPT6SN1_02BEGIN_10</vt:lpstr>
      <vt:lpstr>'GMIC_2020-Annu_SCDPT6SN1'!SCDPT6SN1_02BEGIN_11</vt:lpstr>
      <vt:lpstr>'GMIC_2020-Annu_SCDPT6SN1'!SCDPT6SN1_02BEGIN_12</vt:lpstr>
      <vt:lpstr>'GMIC_2020-Annu_SCDPT6SN1'!SCDPT6SN1_02BEGIN_13</vt:lpstr>
      <vt:lpstr>'GMIC_2020-Annu_SCDPT6SN1'!SCDPT6SN1_02BEGIN_14</vt:lpstr>
      <vt:lpstr>'GMIC_2020-Annu_SCDPT6SN1'!SCDPT6SN1_02BEGIN_15</vt:lpstr>
      <vt:lpstr>'GMIC_2020-Annu_SCDPT6SN1'!SCDPT6SN1_02BEGIN_16</vt:lpstr>
      <vt:lpstr>'GMIC_2020-Annu_SCDPT6SN1'!SCDPT6SN1_02BEGIN_2</vt:lpstr>
      <vt:lpstr>'GMIC_2020-Annu_SCDPT6SN1'!SCDPT6SN1_02BEGIN_3</vt:lpstr>
      <vt:lpstr>'GMIC_2020-Annu_SCDPT6SN1'!SCDPT6SN1_02BEGIN_4</vt:lpstr>
      <vt:lpstr>'GMIC_2020-Annu_SCDPT6SN1'!SCDPT6SN1_02BEGIN_5</vt:lpstr>
      <vt:lpstr>'GMIC_2020-Annu_SCDPT6SN1'!SCDPT6SN1_02BEGIN_6</vt:lpstr>
      <vt:lpstr>'GMIC_2020-Annu_SCDPT6SN1'!SCDPT6SN1_02BEGIN_7</vt:lpstr>
      <vt:lpstr>'GMIC_2020-Annu_SCDPT6SN1'!SCDPT6SN1_02BEGIN_8</vt:lpstr>
      <vt:lpstr>'GMIC_2020-Annu_SCDPT6SN1'!SCDPT6SN1_02BEGIN_9</vt:lpstr>
      <vt:lpstr>'GMIC_2020-Annu_SCDPT6SN1'!SCDPT6SN1_02ENDIN_10</vt:lpstr>
      <vt:lpstr>'GMIC_2020-Annu_SCDPT6SN1'!SCDPT6SN1_02ENDIN_11</vt:lpstr>
      <vt:lpstr>'GMIC_2020-Annu_SCDPT6SN1'!SCDPT6SN1_02ENDIN_12</vt:lpstr>
      <vt:lpstr>'GMIC_2020-Annu_SCDPT6SN1'!SCDPT6SN1_02ENDIN_13</vt:lpstr>
      <vt:lpstr>'GMIC_2020-Annu_SCDPT6SN1'!SCDPT6SN1_02ENDIN_14</vt:lpstr>
      <vt:lpstr>'GMIC_2020-Annu_SCDPT6SN1'!SCDPT6SN1_02ENDIN_15</vt:lpstr>
      <vt:lpstr>'GMIC_2020-Annu_SCDPT6SN1'!SCDPT6SN1_02ENDIN_16</vt:lpstr>
      <vt:lpstr>'GMIC_2020-Annu_SCDPT6SN1'!SCDPT6SN1_02ENDIN_2</vt:lpstr>
      <vt:lpstr>'GMIC_2020-Annu_SCDPT6SN1'!SCDPT6SN1_02ENDIN_3</vt:lpstr>
      <vt:lpstr>'GMIC_2020-Annu_SCDPT6SN1'!SCDPT6SN1_02ENDIN_4</vt:lpstr>
      <vt:lpstr>'GMIC_2020-Annu_SCDPT6SN1'!SCDPT6SN1_02ENDIN_5</vt:lpstr>
      <vt:lpstr>'GMIC_2020-Annu_SCDPT6SN1'!SCDPT6SN1_02ENDIN_6</vt:lpstr>
      <vt:lpstr>'GMIC_2020-Annu_SCDPT6SN1'!SCDPT6SN1_02ENDIN_7</vt:lpstr>
      <vt:lpstr>'GMIC_2020-Annu_SCDPT6SN1'!SCDPT6SN1_02ENDIN_8</vt:lpstr>
      <vt:lpstr>'GMIC_2020-Annu_SCDPT6SN1'!SCDPT6SN1_02ENDIN_9</vt:lpstr>
      <vt:lpstr>'GMIC_2020-Annu_SCDPT6SN1'!SCDPT6SN1_0300000_Range</vt:lpstr>
      <vt:lpstr>'GMIC_2020-Annu_SCDPT6SN1'!SCDPT6SN1_0399999_10</vt:lpstr>
      <vt:lpstr>'GMIC_2020-Annu_SCDPT6SN1'!SCDPT6SN1_0399999_8</vt:lpstr>
      <vt:lpstr>'GMIC_2020-Annu_SCDPT6SN1'!SCDPT6SN1_0399999_9</vt:lpstr>
      <vt:lpstr>'GMIC_2020-Annu_SCDPT6SN1'!SCDPT6SN1_03BEGIN_1</vt:lpstr>
      <vt:lpstr>'GMIC_2020-Annu_SCDPT6SN1'!SCDPT6SN1_03BEGIN_10</vt:lpstr>
      <vt:lpstr>'GMIC_2020-Annu_SCDPT6SN1'!SCDPT6SN1_03BEGIN_11</vt:lpstr>
      <vt:lpstr>'GMIC_2020-Annu_SCDPT6SN1'!SCDPT6SN1_03BEGIN_12</vt:lpstr>
      <vt:lpstr>'GMIC_2020-Annu_SCDPT6SN1'!SCDPT6SN1_03BEGIN_13</vt:lpstr>
      <vt:lpstr>'GMIC_2020-Annu_SCDPT6SN1'!SCDPT6SN1_03BEGIN_14</vt:lpstr>
      <vt:lpstr>'GMIC_2020-Annu_SCDPT6SN1'!SCDPT6SN1_03BEGIN_15</vt:lpstr>
      <vt:lpstr>'GMIC_2020-Annu_SCDPT6SN1'!SCDPT6SN1_03BEGIN_16</vt:lpstr>
      <vt:lpstr>'GMIC_2020-Annu_SCDPT6SN1'!SCDPT6SN1_03BEGIN_2</vt:lpstr>
      <vt:lpstr>'GMIC_2020-Annu_SCDPT6SN1'!SCDPT6SN1_03BEGIN_3</vt:lpstr>
      <vt:lpstr>'GMIC_2020-Annu_SCDPT6SN1'!SCDPT6SN1_03BEGIN_4</vt:lpstr>
      <vt:lpstr>'GMIC_2020-Annu_SCDPT6SN1'!SCDPT6SN1_03BEGIN_5</vt:lpstr>
      <vt:lpstr>'GMIC_2020-Annu_SCDPT6SN1'!SCDPT6SN1_03BEGIN_6</vt:lpstr>
      <vt:lpstr>'GMIC_2020-Annu_SCDPT6SN1'!SCDPT6SN1_03BEGIN_7</vt:lpstr>
      <vt:lpstr>'GMIC_2020-Annu_SCDPT6SN1'!SCDPT6SN1_03BEGIN_8</vt:lpstr>
      <vt:lpstr>'GMIC_2020-Annu_SCDPT6SN1'!SCDPT6SN1_03BEGIN_9</vt:lpstr>
      <vt:lpstr>'GMIC_2020-Annu_SCDPT6SN1'!SCDPT6SN1_03ENDIN_10</vt:lpstr>
      <vt:lpstr>'GMIC_2020-Annu_SCDPT6SN1'!SCDPT6SN1_03ENDIN_11</vt:lpstr>
      <vt:lpstr>'GMIC_2020-Annu_SCDPT6SN1'!SCDPT6SN1_03ENDIN_12</vt:lpstr>
      <vt:lpstr>'GMIC_2020-Annu_SCDPT6SN1'!SCDPT6SN1_03ENDIN_13</vt:lpstr>
      <vt:lpstr>'GMIC_2020-Annu_SCDPT6SN1'!SCDPT6SN1_03ENDIN_14</vt:lpstr>
      <vt:lpstr>'GMIC_2020-Annu_SCDPT6SN1'!SCDPT6SN1_03ENDIN_15</vt:lpstr>
      <vt:lpstr>'GMIC_2020-Annu_SCDPT6SN1'!SCDPT6SN1_03ENDIN_16</vt:lpstr>
      <vt:lpstr>'GMIC_2020-Annu_SCDPT6SN1'!SCDPT6SN1_03ENDIN_2</vt:lpstr>
      <vt:lpstr>'GMIC_2020-Annu_SCDPT6SN1'!SCDPT6SN1_03ENDIN_3</vt:lpstr>
      <vt:lpstr>'GMIC_2020-Annu_SCDPT6SN1'!SCDPT6SN1_03ENDIN_4</vt:lpstr>
      <vt:lpstr>'GMIC_2020-Annu_SCDPT6SN1'!SCDPT6SN1_03ENDIN_5</vt:lpstr>
      <vt:lpstr>'GMIC_2020-Annu_SCDPT6SN1'!SCDPT6SN1_03ENDIN_6</vt:lpstr>
      <vt:lpstr>'GMIC_2020-Annu_SCDPT6SN1'!SCDPT6SN1_03ENDIN_7</vt:lpstr>
      <vt:lpstr>'GMIC_2020-Annu_SCDPT6SN1'!SCDPT6SN1_03ENDIN_8</vt:lpstr>
      <vt:lpstr>'GMIC_2020-Annu_SCDPT6SN1'!SCDPT6SN1_03ENDIN_9</vt:lpstr>
      <vt:lpstr>'GMIC_2020-Annu_SCDPT6SN1'!SCDPT6SN1_0400000_Range</vt:lpstr>
      <vt:lpstr>'GMIC_2020-Annu_SCDPT6SN1'!SCDPT6SN1_0499999_10</vt:lpstr>
      <vt:lpstr>'GMIC_2020-Annu_SCDPT6SN1'!SCDPT6SN1_0499999_8</vt:lpstr>
      <vt:lpstr>'GMIC_2020-Annu_SCDPT6SN1'!SCDPT6SN1_0499999_9</vt:lpstr>
      <vt:lpstr>'GMIC_2020-Annu_SCDPT6SN1'!SCDPT6SN1_04BEGIN_1</vt:lpstr>
      <vt:lpstr>'GMIC_2020-Annu_SCDPT6SN1'!SCDPT6SN1_04BEGIN_10</vt:lpstr>
      <vt:lpstr>'GMIC_2020-Annu_SCDPT6SN1'!SCDPT6SN1_04BEGIN_11</vt:lpstr>
      <vt:lpstr>'GMIC_2020-Annu_SCDPT6SN1'!SCDPT6SN1_04BEGIN_12</vt:lpstr>
      <vt:lpstr>'GMIC_2020-Annu_SCDPT6SN1'!SCDPT6SN1_04BEGIN_13</vt:lpstr>
      <vt:lpstr>'GMIC_2020-Annu_SCDPT6SN1'!SCDPT6SN1_04BEGIN_14</vt:lpstr>
      <vt:lpstr>'GMIC_2020-Annu_SCDPT6SN1'!SCDPT6SN1_04BEGIN_15</vt:lpstr>
      <vt:lpstr>'GMIC_2020-Annu_SCDPT6SN1'!SCDPT6SN1_04BEGIN_16</vt:lpstr>
      <vt:lpstr>'GMIC_2020-Annu_SCDPT6SN1'!SCDPT6SN1_04BEGIN_2</vt:lpstr>
      <vt:lpstr>'GMIC_2020-Annu_SCDPT6SN1'!SCDPT6SN1_04BEGIN_3</vt:lpstr>
      <vt:lpstr>'GMIC_2020-Annu_SCDPT6SN1'!SCDPT6SN1_04BEGIN_4</vt:lpstr>
      <vt:lpstr>'GMIC_2020-Annu_SCDPT6SN1'!SCDPT6SN1_04BEGIN_5</vt:lpstr>
      <vt:lpstr>'GMIC_2020-Annu_SCDPT6SN1'!SCDPT6SN1_04BEGIN_6</vt:lpstr>
      <vt:lpstr>'GMIC_2020-Annu_SCDPT6SN1'!SCDPT6SN1_04BEGIN_7</vt:lpstr>
      <vt:lpstr>'GMIC_2020-Annu_SCDPT6SN1'!SCDPT6SN1_04BEGIN_8</vt:lpstr>
      <vt:lpstr>'GMIC_2020-Annu_SCDPT6SN1'!SCDPT6SN1_04BEGIN_9</vt:lpstr>
      <vt:lpstr>'GMIC_2020-Annu_SCDPT6SN1'!SCDPT6SN1_04ENDIN_10</vt:lpstr>
      <vt:lpstr>'GMIC_2020-Annu_SCDPT6SN1'!SCDPT6SN1_04ENDIN_11</vt:lpstr>
      <vt:lpstr>'GMIC_2020-Annu_SCDPT6SN1'!SCDPT6SN1_04ENDIN_12</vt:lpstr>
      <vt:lpstr>'GMIC_2020-Annu_SCDPT6SN1'!SCDPT6SN1_04ENDIN_13</vt:lpstr>
      <vt:lpstr>'GMIC_2020-Annu_SCDPT6SN1'!SCDPT6SN1_04ENDIN_14</vt:lpstr>
      <vt:lpstr>'GMIC_2020-Annu_SCDPT6SN1'!SCDPT6SN1_04ENDIN_15</vt:lpstr>
      <vt:lpstr>'GMIC_2020-Annu_SCDPT6SN1'!SCDPT6SN1_04ENDIN_16</vt:lpstr>
      <vt:lpstr>'GMIC_2020-Annu_SCDPT6SN1'!SCDPT6SN1_04ENDIN_2</vt:lpstr>
      <vt:lpstr>'GMIC_2020-Annu_SCDPT6SN1'!SCDPT6SN1_04ENDIN_3</vt:lpstr>
      <vt:lpstr>'GMIC_2020-Annu_SCDPT6SN1'!SCDPT6SN1_04ENDIN_4</vt:lpstr>
      <vt:lpstr>'GMIC_2020-Annu_SCDPT6SN1'!SCDPT6SN1_04ENDIN_5</vt:lpstr>
      <vt:lpstr>'GMIC_2020-Annu_SCDPT6SN1'!SCDPT6SN1_04ENDIN_6</vt:lpstr>
      <vt:lpstr>'GMIC_2020-Annu_SCDPT6SN1'!SCDPT6SN1_04ENDIN_7</vt:lpstr>
      <vt:lpstr>'GMIC_2020-Annu_SCDPT6SN1'!SCDPT6SN1_04ENDIN_8</vt:lpstr>
      <vt:lpstr>'GMIC_2020-Annu_SCDPT6SN1'!SCDPT6SN1_04ENDIN_9</vt:lpstr>
      <vt:lpstr>'GMIC_2020-Annu_SCDPT6SN1'!SCDPT6SN1_0500000_Range</vt:lpstr>
      <vt:lpstr>'GMIC_2020-Annu_SCDPT6SN1'!SCDPT6SN1_0599999_10</vt:lpstr>
      <vt:lpstr>'GMIC_2020-Annu_SCDPT6SN1'!SCDPT6SN1_0599999_8</vt:lpstr>
      <vt:lpstr>'GMIC_2020-Annu_SCDPT6SN1'!SCDPT6SN1_0599999_9</vt:lpstr>
      <vt:lpstr>'GMIC_2020-Annu_SCDPT6SN1'!SCDPT6SN1_05BEGIN_1</vt:lpstr>
      <vt:lpstr>'GMIC_2020-Annu_SCDPT6SN1'!SCDPT6SN1_05BEGIN_10</vt:lpstr>
      <vt:lpstr>'GMIC_2020-Annu_SCDPT6SN1'!SCDPT6SN1_05BEGIN_11</vt:lpstr>
      <vt:lpstr>'GMIC_2020-Annu_SCDPT6SN1'!SCDPT6SN1_05BEGIN_12</vt:lpstr>
      <vt:lpstr>'GMIC_2020-Annu_SCDPT6SN1'!SCDPT6SN1_05BEGIN_13</vt:lpstr>
      <vt:lpstr>'GMIC_2020-Annu_SCDPT6SN1'!SCDPT6SN1_05BEGIN_14</vt:lpstr>
      <vt:lpstr>'GMIC_2020-Annu_SCDPT6SN1'!SCDPT6SN1_05BEGIN_15</vt:lpstr>
      <vt:lpstr>'GMIC_2020-Annu_SCDPT6SN1'!SCDPT6SN1_05BEGIN_16</vt:lpstr>
      <vt:lpstr>'GMIC_2020-Annu_SCDPT6SN1'!SCDPT6SN1_05BEGIN_2</vt:lpstr>
      <vt:lpstr>'GMIC_2020-Annu_SCDPT6SN1'!SCDPT6SN1_05BEGIN_3</vt:lpstr>
      <vt:lpstr>'GMIC_2020-Annu_SCDPT6SN1'!SCDPT6SN1_05BEGIN_4</vt:lpstr>
      <vt:lpstr>'GMIC_2020-Annu_SCDPT6SN1'!SCDPT6SN1_05BEGIN_5</vt:lpstr>
      <vt:lpstr>'GMIC_2020-Annu_SCDPT6SN1'!SCDPT6SN1_05BEGIN_6</vt:lpstr>
      <vt:lpstr>'GMIC_2020-Annu_SCDPT6SN1'!SCDPT6SN1_05BEGIN_7</vt:lpstr>
      <vt:lpstr>'GMIC_2020-Annu_SCDPT6SN1'!SCDPT6SN1_05BEGIN_8</vt:lpstr>
      <vt:lpstr>'GMIC_2020-Annu_SCDPT6SN1'!SCDPT6SN1_05BEGIN_9</vt:lpstr>
      <vt:lpstr>'GMIC_2020-Annu_SCDPT6SN1'!SCDPT6SN1_05ENDIN_10</vt:lpstr>
      <vt:lpstr>'GMIC_2020-Annu_SCDPT6SN1'!SCDPT6SN1_05ENDIN_11</vt:lpstr>
      <vt:lpstr>'GMIC_2020-Annu_SCDPT6SN1'!SCDPT6SN1_05ENDIN_12</vt:lpstr>
      <vt:lpstr>'GMIC_2020-Annu_SCDPT6SN1'!SCDPT6SN1_05ENDIN_13</vt:lpstr>
      <vt:lpstr>'GMIC_2020-Annu_SCDPT6SN1'!SCDPT6SN1_05ENDIN_14</vt:lpstr>
      <vt:lpstr>'GMIC_2020-Annu_SCDPT6SN1'!SCDPT6SN1_05ENDIN_15</vt:lpstr>
      <vt:lpstr>'GMIC_2020-Annu_SCDPT6SN1'!SCDPT6SN1_05ENDIN_16</vt:lpstr>
      <vt:lpstr>'GMIC_2020-Annu_SCDPT6SN1'!SCDPT6SN1_05ENDIN_2</vt:lpstr>
      <vt:lpstr>'GMIC_2020-Annu_SCDPT6SN1'!SCDPT6SN1_05ENDIN_3</vt:lpstr>
      <vt:lpstr>'GMIC_2020-Annu_SCDPT6SN1'!SCDPT6SN1_05ENDIN_4</vt:lpstr>
      <vt:lpstr>'GMIC_2020-Annu_SCDPT6SN1'!SCDPT6SN1_05ENDIN_5</vt:lpstr>
      <vt:lpstr>'GMIC_2020-Annu_SCDPT6SN1'!SCDPT6SN1_05ENDIN_6</vt:lpstr>
      <vt:lpstr>'GMIC_2020-Annu_SCDPT6SN1'!SCDPT6SN1_05ENDIN_7</vt:lpstr>
      <vt:lpstr>'GMIC_2020-Annu_SCDPT6SN1'!SCDPT6SN1_05ENDIN_8</vt:lpstr>
      <vt:lpstr>'GMIC_2020-Annu_SCDPT6SN1'!SCDPT6SN1_05ENDIN_9</vt:lpstr>
      <vt:lpstr>'GMIC_2020-Annu_SCDPT6SN1'!SCDPT6SN1_0600000_Range</vt:lpstr>
      <vt:lpstr>'GMIC_2020-Annu_SCDPT6SN1'!SCDPT6SN1_0699999_10</vt:lpstr>
      <vt:lpstr>'GMIC_2020-Annu_SCDPT6SN1'!SCDPT6SN1_0699999_8</vt:lpstr>
      <vt:lpstr>'GMIC_2020-Annu_SCDPT6SN1'!SCDPT6SN1_0699999_9</vt:lpstr>
      <vt:lpstr>'GMIC_2020-Annu_SCDPT6SN1'!SCDPT6SN1_06BEGIN_1</vt:lpstr>
      <vt:lpstr>'GMIC_2020-Annu_SCDPT6SN1'!SCDPT6SN1_06BEGIN_10</vt:lpstr>
      <vt:lpstr>'GMIC_2020-Annu_SCDPT6SN1'!SCDPT6SN1_06BEGIN_11</vt:lpstr>
      <vt:lpstr>'GMIC_2020-Annu_SCDPT6SN1'!SCDPT6SN1_06BEGIN_12</vt:lpstr>
      <vt:lpstr>'GMIC_2020-Annu_SCDPT6SN1'!SCDPT6SN1_06BEGIN_13</vt:lpstr>
      <vt:lpstr>'GMIC_2020-Annu_SCDPT6SN1'!SCDPT6SN1_06BEGIN_14</vt:lpstr>
      <vt:lpstr>'GMIC_2020-Annu_SCDPT6SN1'!SCDPT6SN1_06BEGIN_15</vt:lpstr>
      <vt:lpstr>'GMIC_2020-Annu_SCDPT6SN1'!SCDPT6SN1_06BEGIN_16</vt:lpstr>
      <vt:lpstr>'GMIC_2020-Annu_SCDPT6SN1'!SCDPT6SN1_06BEGIN_2</vt:lpstr>
      <vt:lpstr>'GMIC_2020-Annu_SCDPT6SN1'!SCDPT6SN1_06BEGIN_3</vt:lpstr>
      <vt:lpstr>'GMIC_2020-Annu_SCDPT6SN1'!SCDPT6SN1_06BEGIN_4</vt:lpstr>
      <vt:lpstr>'GMIC_2020-Annu_SCDPT6SN1'!SCDPT6SN1_06BEGIN_5</vt:lpstr>
      <vt:lpstr>'GMIC_2020-Annu_SCDPT6SN1'!SCDPT6SN1_06BEGIN_6</vt:lpstr>
      <vt:lpstr>'GMIC_2020-Annu_SCDPT6SN1'!SCDPT6SN1_06BEGIN_7</vt:lpstr>
      <vt:lpstr>'GMIC_2020-Annu_SCDPT6SN1'!SCDPT6SN1_06BEGIN_8</vt:lpstr>
      <vt:lpstr>'GMIC_2020-Annu_SCDPT6SN1'!SCDPT6SN1_06BEGIN_9</vt:lpstr>
      <vt:lpstr>'GMIC_2020-Annu_SCDPT6SN1'!SCDPT6SN1_06ENDIN_10</vt:lpstr>
      <vt:lpstr>'GMIC_2020-Annu_SCDPT6SN1'!SCDPT6SN1_06ENDIN_11</vt:lpstr>
      <vt:lpstr>'GMIC_2020-Annu_SCDPT6SN1'!SCDPT6SN1_06ENDIN_12</vt:lpstr>
      <vt:lpstr>'GMIC_2020-Annu_SCDPT6SN1'!SCDPT6SN1_06ENDIN_13</vt:lpstr>
      <vt:lpstr>'GMIC_2020-Annu_SCDPT6SN1'!SCDPT6SN1_06ENDIN_14</vt:lpstr>
      <vt:lpstr>'GMIC_2020-Annu_SCDPT6SN1'!SCDPT6SN1_06ENDIN_15</vt:lpstr>
      <vt:lpstr>'GMIC_2020-Annu_SCDPT6SN1'!SCDPT6SN1_06ENDIN_16</vt:lpstr>
      <vt:lpstr>'GMIC_2020-Annu_SCDPT6SN1'!SCDPT6SN1_06ENDIN_2</vt:lpstr>
      <vt:lpstr>'GMIC_2020-Annu_SCDPT6SN1'!SCDPT6SN1_06ENDIN_3</vt:lpstr>
      <vt:lpstr>'GMIC_2020-Annu_SCDPT6SN1'!SCDPT6SN1_06ENDIN_4</vt:lpstr>
      <vt:lpstr>'GMIC_2020-Annu_SCDPT6SN1'!SCDPT6SN1_06ENDIN_5</vt:lpstr>
      <vt:lpstr>'GMIC_2020-Annu_SCDPT6SN1'!SCDPT6SN1_06ENDIN_6</vt:lpstr>
      <vt:lpstr>'GMIC_2020-Annu_SCDPT6SN1'!SCDPT6SN1_06ENDIN_7</vt:lpstr>
      <vt:lpstr>'GMIC_2020-Annu_SCDPT6SN1'!SCDPT6SN1_06ENDIN_8</vt:lpstr>
      <vt:lpstr>'GMIC_2020-Annu_SCDPT6SN1'!SCDPT6SN1_06ENDIN_9</vt:lpstr>
      <vt:lpstr>'GMIC_2020-Annu_SCDPT6SN1'!SCDPT6SN1_0700000_Range</vt:lpstr>
      <vt:lpstr>'GMIC_2020-Annu_SCDPT6SN1'!SCDPT6SN1_0799999_10</vt:lpstr>
      <vt:lpstr>'GMIC_2020-Annu_SCDPT6SN1'!SCDPT6SN1_0799999_8</vt:lpstr>
      <vt:lpstr>'GMIC_2020-Annu_SCDPT6SN1'!SCDPT6SN1_0799999_9</vt:lpstr>
      <vt:lpstr>'GMIC_2020-Annu_SCDPT6SN1'!SCDPT6SN1_07BEGIN_1</vt:lpstr>
      <vt:lpstr>'GMIC_2020-Annu_SCDPT6SN1'!SCDPT6SN1_07BEGIN_10</vt:lpstr>
      <vt:lpstr>'GMIC_2020-Annu_SCDPT6SN1'!SCDPT6SN1_07BEGIN_11</vt:lpstr>
      <vt:lpstr>'GMIC_2020-Annu_SCDPT6SN1'!SCDPT6SN1_07BEGIN_12</vt:lpstr>
      <vt:lpstr>'GMIC_2020-Annu_SCDPT6SN1'!SCDPT6SN1_07BEGIN_13</vt:lpstr>
      <vt:lpstr>'GMIC_2020-Annu_SCDPT6SN1'!SCDPT6SN1_07BEGIN_14</vt:lpstr>
      <vt:lpstr>'GMIC_2020-Annu_SCDPT6SN1'!SCDPT6SN1_07BEGIN_15</vt:lpstr>
      <vt:lpstr>'GMIC_2020-Annu_SCDPT6SN1'!SCDPT6SN1_07BEGIN_16</vt:lpstr>
      <vt:lpstr>'GMIC_2020-Annu_SCDPT6SN1'!SCDPT6SN1_07BEGIN_2</vt:lpstr>
      <vt:lpstr>'GMIC_2020-Annu_SCDPT6SN1'!SCDPT6SN1_07BEGIN_3</vt:lpstr>
      <vt:lpstr>'GMIC_2020-Annu_SCDPT6SN1'!SCDPT6SN1_07BEGIN_4</vt:lpstr>
      <vt:lpstr>'GMIC_2020-Annu_SCDPT6SN1'!SCDPT6SN1_07BEGIN_5</vt:lpstr>
      <vt:lpstr>'GMIC_2020-Annu_SCDPT6SN1'!SCDPT6SN1_07BEGIN_6</vt:lpstr>
      <vt:lpstr>'GMIC_2020-Annu_SCDPT6SN1'!SCDPT6SN1_07BEGIN_7</vt:lpstr>
      <vt:lpstr>'GMIC_2020-Annu_SCDPT6SN1'!SCDPT6SN1_07BEGIN_8</vt:lpstr>
      <vt:lpstr>'GMIC_2020-Annu_SCDPT6SN1'!SCDPT6SN1_07BEGIN_9</vt:lpstr>
      <vt:lpstr>'GMIC_2020-Annu_SCDPT6SN1'!SCDPT6SN1_07ENDIN_10</vt:lpstr>
      <vt:lpstr>'GMIC_2020-Annu_SCDPT6SN1'!SCDPT6SN1_07ENDIN_11</vt:lpstr>
      <vt:lpstr>'GMIC_2020-Annu_SCDPT6SN1'!SCDPT6SN1_07ENDIN_12</vt:lpstr>
      <vt:lpstr>'GMIC_2020-Annu_SCDPT6SN1'!SCDPT6SN1_07ENDIN_13</vt:lpstr>
      <vt:lpstr>'GMIC_2020-Annu_SCDPT6SN1'!SCDPT6SN1_07ENDIN_14</vt:lpstr>
      <vt:lpstr>'GMIC_2020-Annu_SCDPT6SN1'!SCDPT6SN1_07ENDIN_15</vt:lpstr>
      <vt:lpstr>'GMIC_2020-Annu_SCDPT6SN1'!SCDPT6SN1_07ENDIN_16</vt:lpstr>
      <vt:lpstr>'GMIC_2020-Annu_SCDPT6SN1'!SCDPT6SN1_07ENDIN_2</vt:lpstr>
      <vt:lpstr>'GMIC_2020-Annu_SCDPT6SN1'!SCDPT6SN1_07ENDIN_3</vt:lpstr>
      <vt:lpstr>'GMIC_2020-Annu_SCDPT6SN1'!SCDPT6SN1_07ENDIN_4</vt:lpstr>
      <vt:lpstr>'GMIC_2020-Annu_SCDPT6SN1'!SCDPT6SN1_07ENDIN_5</vt:lpstr>
      <vt:lpstr>'GMIC_2020-Annu_SCDPT6SN1'!SCDPT6SN1_07ENDIN_6</vt:lpstr>
      <vt:lpstr>'GMIC_2020-Annu_SCDPT6SN1'!SCDPT6SN1_07ENDIN_7</vt:lpstr>
      <vt:lpstr>'GMIC_2020-Annu_SCDPT6SN1'!SCDPT6SN1_07ENDIN_8</vt:lpstr>
      <vt:lpstr>'GMIC_2020-Annu_SCDPT6SN1'!SCDPT6SN1_07ENDIN_9</vt:lpstr>
      <vt:lpstr>'GMIC_2020-Annu_SCDPT6SN1'!SCDPT6SN1_0800000_Range</vt:lpstr>
      <vt:lpstr>'GMIC_2020-Annu_SCDPT6SN1'!SCDPT6SN1_0899999_10</vt:lpstr>
      <vt:lpstr>'GMIC_2020-Annu_SCDPT6SN1'!SCDPT6SN1_0899999_8</vt:lpstr>
      <vt:lpstr>'GMIC_2020-Annu_SCDPT6SN1'!SCDPT6SN1_0899999_9</vt:lpstr>
      <vt:lpstr>'GMIC_2020-Annu_SCDPT6SN1'!SCDPT6SN1_08BEGIN_1</vt:lpstr>
      <vt:lpstr>'GMIC_2020-Annu_SCDPT6SN1'!SCDPT6SN1_08BEGIN_10</vt:lpstr>
      <vt:lpstr>'GMIC_2020-Annu_SCDPT6SN1'!SCDPT6SN1_08BEGIN_11</vt:lpstr>
      <vt:lpstr>'GMIC_2020-Annu_SCDPT6SN1'!SCDPT6SN1_08BEGIN_12</vt:lpstr>
      <vt:lpstr>'GMIC_2020-Annu_SCDPT6SN1'!SCDPT6SN1_08BEGIN_13</vt:lpstr>
      <vt:lpstr>'GMIC_2020-Annu_SCDPT6SN1'!SCDPT6SN1_08BEGIN_14</vt:lpstr>
      <vt:lpstr>'GMIC_2020-Annu_SCDPT6SN1'!SCDPT6SN1_08BEGIN_15</vt:lpstr>
      <vt:lpstr>'GMIC_2020-Annu_SCDPT6SN1'!SCDPT6SN1_08BEGIN_16</vt:lpstr>
      <vt:lpstr>'GMIC_2020-Annu_SCDPT6SN1'!SCDPT6SN1_08BEGIN_2</vt:lpstr>
      <vt:lpstr>'GMIC_2020-Annu_SCDPT6SN1'!SCDPT6SN1_08BEGIN_3</vt:lpstr>
      <vt:lpstr>'GMIC_2020-Annu_SCDPT6SN1'!SCDPT6SN1_08BEGIN_4</vt:lpstr>
      <vt:lpstr>'GMIC_2020-Annu_SCDPT6SN1'!SCDPT6SN1_08BEGIN_5</vt:lpstr>
      <vt:lpstr>'GMIC_2020-Annu_SCDPT6SN1'!SCDPT6SN1_08BEGIN_6</vt:lpstr>
      <vt:lpstr>'GMIC_2020-Annu_SCDPT6SN1'!SCDPT6SN1_08BEGIN_7</vt:lpstr>
      <vt:lpstr>'GMIC_2020-Annu_SCDPT6SN1'!SCDPT6SN1_08BEGIN_8</vt:lpstr>
      <vt:lpstr>'GMIC_2020-Annu_SCDPT6SN1'!SCDPT6SN1_08BEGIN_9</vt:lpstr>
      <vt:lpstr>'GMIC_2020-Annu_SCDPT6SN1'!SCDPT6SN1_08ENDIN_10</vt:lpstr>
      <vt:lpstr>'GMIC_2020-Annu_SCDPT6SN1'!SCDPT6SN1_08ENDIN_11</vt:lpstr>
      <vt:lpstr>'GMIC_2020-Annu_SCDPT6SN1'!SCDPT6SN1_08ENDIN_12</vt:lpstr>
      <vt:lpstr>'GMIC_2020-Annu_SCDPT6SN1'!SCDPT6SN1_08ENDIN_13</vt:lpstr>
      <vt:lpstr>'GMIC_2020-Annu_SCDPT6SN1'!SCDPT6SN1_08ENDIN_14</vt:lpstr>
      <vt:lpstr>'GMIC_2020-Annu_SCDPT6SN1'!SCDPT6SN1_08ENDIN_15</vt:lpstr>
      <vt:lpstr>'GMIC_2020-Annu_SCDPT6SN1'!SCDPT6SN1_08ENDIN_16</vt:lpstr>
      <vt:lpstr>'GMIC_2020-Annu_SCDPT6SN1'!SCDPT6SN1_08ENDIN_2</vt:lpstr>
      <vt:lpstr>'GMIC_2020-Annu_SCDPT6SN1'!SCDPT6SN1_08ENDIN_3</vt:lpstr>
      <vt:lpstr>'GMIC_2020-Annu_SCDPT6SN1'!SCDPT6SN1_08ENDIN_4</vt:lpstr>
      <vt:lpstr>'GMIC_2020-Annu_SCDPT6SN1'!SCDPT6SN1_08ENDIN_5</vt:lpstr>
      <vt:lpstr>'GMIC_2020-Annu_SCDPT6SN1'!SCDPT6SN1_08ENDIN_6</vt:lpstr>
      <vt:lpstr>'GMIC_2020-Annu_SCDPT6SN1'!SCDPT6SN1_08ENDIN_7</vt:lpstr>
      <vt:lpstr>'GMIC_2020-Annu_SCDPT6SN1'!SCDPT6SN1_08ENDIN_8</vt:lpstr>
      <vt:lpstr>'GMIC_2020-Annu_SCDPT6SN1'!SCDPT6SN1_08ENDIN_9</vt:lpstr>
      <vt:lpstr>'GMIC_2020-Annu_SCDPT6SN1'!SCDPT6SN1_0999999_10</vt:lpstr>
      <vt:lpstr>'GMIC_2020-Annu_SCDPT6SN1'!SCDPT6SN1_0999999_8</vt:lpstr>
      <vt:lpstr>'GMIC_2020-Annu_SCDPT6SN1'!SCDPT6SN1_0999999_9</vt:lpstr>
      <vt:lpstr>'GMIC_2020-Annu_SCDPT6SN1'!SCDPT6SN1_1000000_Range</vt:lpstr>
      <vt:lpstr>'GMIC_2020-Annu_SCDPT6SN1'!SCDPT6SN1_1099999_10</vt:lpstr>
      <vt:lpstr>'GMIC_2020-Annu_SCDPT6SN1'!SCDPT6SN1_1099999_8</vt:lpstr>
      <vt:lpstr>'GMIC_2020-Annu_SCDPT6SN1'!SCDPT6SN1_1099999_9</vt:lpstr>
      <vt:lpstr>'GMIC_2020-Annu_SCDPT6SN1'!SCDPT6SN1_10BEGIN_1</vt:lpstr>
      <vt:lpstr>'GMIC_2020-Annu_SCDPT6SN1'!SCDPT6SN1_10BEGIN_10</vt:lpstr>
      <vt:lpstr>'GMIC_2020-Annu_SCDPT6SN1'!SCDPT6SN1_10BEGIN_11</vt:lpstr>
      <vt:lpstr>'GMIC_2020-Annu_SCDPT6SN1'!SCDPT6SN1_10BEGIN_12</vt:lpstr>
      <vt:lpstr>'GMIC_2020-Annu_SCDPT6SN1'!SCDPT6SN1_10BEGIN_13</vt:lpstr>
      <vt:lpstr>'GMIC_2020-Annu_SCDPT6SN1'!SCDPT6SN1_10BEGIN_14</vt:lpstr>
      <vt:lpstr>'GMIC_2020-Annu_SCDPT6SN1'!SCDPT6SN1_10BEGIN_15</vt:lpstr>
      <vt:lpstr>'GMIC_2020-Annu_SCDPT6SN1'!SCDPT6SN1_10BEGIN_16</vt:lpstr>
      <vt:lpstr>'GMIC_2020-Annu_SCDPT6SN1'!SCDPT6SN1_10BEGIN_2</vt:lpstr>
      <vt:lpstr>'GMIC_2020-Annu_SCDPT6SN1'!SCDPT6SN1_10BEGIN_3</vt:lpstr>
      <vt:lpstr>'GMIC_2020-Annu_SCDPT6SN1'!SCDPT6SN1_10BEGIN_4</vt:lpstr>
      <vt:lpstr>'GMIC_2020-Annu_SCDPT6SN1'!SCDPT6SN1_10BEGIN_5</vt:lpstr>
      <vt:lpstr>'GMIC_2020-Annu_SCDPT6SN1'!SCDPT6SN1_10BEGIN_6</vt:lpstr>
      <vt:lpstr>'GMIC_2020-Annu_SCDPT6SN1'!SCDPT6SN1_10BEGIN_7</vt:lpstr>
      <vt:lpstr>'GMIC_2020-Annu_SCDPT6SN1'!SCDPT6SN1_10BEGIN_8</vt:lpstr>
      <vt:lpstr>'GMIC_2020-Annu_SCDPT6SN1'!SCDPT6SN1_10BEGIN_9</vt:lpstr>
      <vt:lpstr>'GMIC_2020-Annu_SCDPT6SN1'!SCDPT6SN1_10ENDIN_10</vt:lpstr>
      <vt:lpstr>'GMIC_2020-Annu_SCDPT6SN1'!SCDPT6SN1_10ENDIN_11</vt:lpstr>
      <vt:lpstr>'GMIC_2020-Annu_SCDPT6SN1'!SCDPT6SN1_10ENDIN_12</vt:lpstr>
      <vt:lpstr>'GMIC_2020-Annu_SCDPT6SN1'!SCDPT6SN1_10ENDIN_13</vt:lpstr>
      <vt:lpstr>'GMIC_2020-Annu_SCDPT6SN1'!SCDPT6SN1_10ENDIN_14</vt:lpstr>
      <vt:lpstr>'GMIC_2020-Annu_SCDPT6SN1'!SCDPT6SN1_10ENDIN_15</vt:lpstr>
      <vt:lpstr>'GMIC_2020-Annu_SCDPT6SN1'!SCDPT6SN1_10ENDIN_16</vt:lpstr>
      <vt:lpstr>'GMIC_2020-Annu_SCDPT6SN1'!SCDPT6SN1_10ENDIN_2</vt:lpstr>
      <vt:lpstr>'GMIC_2020-Annu_SCDPT6SN1'!SCDPT6SN1_10ENDIN_3</vt:lpstr>
      <vt:lpstr>'GMIC_2020-Annu_SCDPT6SN1'!SCDPT6SN1_10ENDIN_4</vt:lpstr>
      <vt:lpstr>'GMIC_2020-Annu_SCDPT6SN1'!SCDPT6SN1_10ENDIN_5</vt:lpstr>
      <vt:lpstr>'GMIC_2020-Annu_SCDPT6SN1'!SCDPT6SN1_10ENDIN_6</vt:lpstr>
      <vt:lpstr>'GMIC_2020-Annu_SCDPT6SN1'!SCDPT6SN1_10ENDIN_7</vt:lpstr>
      <vt:lpstr>'GMIC_2020-Annu_SCDPT6SN1'!SCDPT6SN1_10ENDIN_8</vt:lpstr>
      <vt:lpstr>'GMIC_2020-Annu_SCDPT6SN1'!SCDPT6SN1_10ENDIN_9</vt:lpstr>
      <vt:lpstr>'GMIC_2020-Annu_SCDPT6SN1'!SCDPT6SN1_1100000_Range</vt:lpstr>
      <vt:lpstr>'GMIC_2020-Annu_SCDPT6SN1'!SCDPT6SN1_1199999_10</vt:lpstr>
      <vt:lpstr>'GMIC_2020-Annu_SCDPT6SN1'!SCDPT6SN1_1199999_8</vt:lpstr>
      <vt:lpstr>'GMIC_2020-Annu_SCDPT6SN1'!SCDPT6SN1_1199999_9</vt:lpstr>
      <vt:lpstr>'GMIC_2020-Annu_SCDPT6SN1'!SCDPT6SN1_11BEGIN_1</vt:lpstr>
      <vt:lpstr>'GMIC_2020-Annu_SCDPT6SN1'!SCDPT6SN1_11BEGIN_10</vt:lpstr>
      <vt:lpstr>'GMIC_2020-Annu_SCDPT6SN1'!SCDPT6SN1_11BEGIN_11</vt:lpstr>
      <vt:lpstr>'GMIC_2020-Annu_SCDPT6SN1'!SCDPT6SN1_11BEGIN_12</vt:lpstr>
      <vt:lpstr>'GMIC_2020-Annu_SCDPT6SN1'!SCDPT6SN1_11BEGIN_13</vt:lpstr>
      <vt:lpstr>'GMIC_2020-Annu_SCDPT6SN1'!SCDPT6SN1_11BEGIN_14</vt:lpstr>
      <vt:lpstr>'GMIC_2020-Annu_SCDPT6SN1'!SCDPT6SN1_11BEGIN_15</vt:lpstr>
      <vt:lpstr>'GMIC_2020-Annu_SCDPT6SN1'!SCDPT6SN1_11BEGIN_16</vt:lpstr>
      <vt:lpstr>'GMIC_2020-Annu_SCDPT6SN1'!SCDPT6SN1_11BEGIN_2</vt:lpstr>
      <vt:lpstr>'GMIC_2020-Annu_SCDPT6SN1'!SCDPT6SN1_11BEGIN_3</vt:lpstr>
      <vt:lpstr>'GMIC_2020-Annu_SCDPT6SN1'!SCDPT6SN1_11BEGIN_4</vt:lpstr>
      <vt:lpstr>'GMIC_2020-Annu_SCDPT6SN1'!SCDPT6SN1_11BEGIN_5</vt:lpstr>
      <vt:lpstr>'GMIC_2020-Annu_SCDPT6SN1'!SCDPT6SN1_11BEGIN_6</vt:lpstr>
      <vt:lpstr>'GMIC_2020-Annu_SCDPT6SN1'!SCDPT6SN1_11BEGIN_7</vt:lpstr>
      <vt:lpstr>'GMIC_2020-Annu_SCDPT6SN1'!SCDPT6SN1_11BEGIN_8</vt:lpstr>
      <vt:lpstr>'GMIC_2020-Annu_SCDPT6SN1'!SCDPT6SN1_11BEGIN_9</vt:lpstr>
      <vt:lpstr>'GMIC_2020-Annu_SCDPT6SN1'!SCDPT6SN1_11ENDIN_10</vt:lpstr>
      <vt:lpstr>'GMIC_2020-Annu_SCDPT6SN1'!SCDPT6SN1_11ENDIN_11</vt:lpstr>
      <vt:lpstr>'GMIC_2020-Annu_SCDPT6SN1'!SCDPT6SN1_11ENDIN_12</vt:lpstr>
      <vt:lpstr>'GMIC_2020-Annu_SCDPT6SN1'!SCDPT6SN1_11ENDIN_13</vt:lpstr>
      <vt:lpstr>'GMIC_2020-Annu_SCDPT6SN1'!SCDPT6SN1_11ENDIN_14</vt:lpstr>
      <vt:lpstr>'GMIC_2020-Annu_SCDPT6SN1'!SCDPT6SN1_11ENDIN_15</vt:lpstr>
      <vt:lpstr>'GMIC_2020-Annu_SCDPT6SN1'!SCDPT6SN1_11ENDIN_16</vt:lpstr>
      <vt:lpstr>'GMIC_2020-Annu_SCDPT6SN1'!SCDPT6SN1_11ENDIN_2</vt:lpstr>
      <vt:lpstr>'GMIC_2020-Annu_SCDPT6SN1'!SCDPT6SN1_11ENDIN_3</vt:lpstr>
      <vt:lpstr>'GMIC_2020-Annu_SCDPT6SN1'!SCDPT6SN1_11ENDIN_4</vt:lpstr>
      <vt:lpstr>'GMIC_2020-Annu_SCDPT6SN1'!SCDPT6SN1_11ENDIN_5</vt:lpstr>
      <vt:lpstr>'GMIC_2020-Annu_SCDPT6SN1'!SCDPT6SN1_11ENDIN_6</vt:lpstr>
      <vt:lpstr>'GMIC_2020-Annu_SCDPT6SN1'!SCDPT6SN1_11ENDIN_7</vt:lpstr>
      <vt:lpstr>'GMIC_2020-Annu_SCDPT6SN1'!SCDPT6SN1_11ENDIN_8</vt:lpstr>
      <vt:lpstr>'GMIC_2020-Annu_SCDPT6SN1'!SCDPT6SN1_11ENDIN_9</vt:lpstr>
      <vt:lpstr>'GMIC_2020-Annu_SCDPT6SN1'!SCDPT6SN1_1200000_Range</vt:lpstr>
      <vt:lpstr>'GMIC_2020-Annu_SCDPT6SN1'!SCDPT6SN1_1299999_10</vt:lpstr>
      <vt:lpstr>'GMIC_2020-Annu_SCDPT6SN1'!SCDPT6SN1_1299999_8</vt:lpstr>
      <vt:lpstr>'GMIC_2020-Annu_SCDPT6SN1'!SCDPT6SN1_1299999_9</vt:lpstr>
      <vt:lpstr>'GMIC_2020-Annu_SCDPT6SN1'!SCDPT6SN1_12BEGIN_1</vt:lpstr>
      <vt:lpstr>'GMIC_2020-Annu_SCDPT6SN1'!SCDPT6SN1_12BEGIN_10</vt:lpstr>
      <vt:lpstr>'GMIC_2020-Annu_SCDPT6SN1'!SCDPT6SN1_12BEGIN_11</vt:lpstr>
      <vt:lpstr>'GMIC_2020-Annu_SCDPT6SN1'!SCDPT6SN1_12BEGIN_12</vt:lpstr>
      <vt:lpstr>'GMIC_2020-Annu_SCDPT6SN1'!SCDPT6SN1_12BEGIN_13</vt:lpstr>
      <vt:lpstr>'GMIC_2020-Annu_SCDPT6SN1'!SCDPT6SN1_12BEGIN_14</vt:lpstr>
      <vt:lpstr>'GMIC_2020-Annu_SCDPT6SN1'!SCDPT6SN1_12BEGIN_15</vt:lpstr>
      <vt:lpstr>'GMIC_2020-Annu_SCDPT6SN1'!SCDPT6SN1_12BEGIN_16</vt:lpstr>
      <vt:lpstr>'GMIC_2020-Annu_SCDPT6SN1'!SCDPT6SN1_12BEGIN_2</vt:lpstr>
      <vt:lpstr>'GMIC_2020-Annu_SCDPT6SN1'!SCDPT6SN1_12BEGIN_3</vt:lpstr>
      <vt:lpstr>'GMIC_2020-Annu_SCDPT6SN1'!SCDPT6SN1_12BEGIN_4</vt:lpstr>
      <vt:lpstr>'GMIC_2020-Annu_SCDPT6SN1'!SCDPT6SN1_12BEGIN_5</vt:lpstr>
      <vt:lpstr>'GMIC_2020-Annu_SCDPT6SN1'!SCDPT6SN1_12BEGIN_6</vt:lpstr>
      <vt:lpstr>'GMIC_2020-Annu_SCDPT6SN1'!SCDPT6SN1_12BEGIN_7</vt:lpstr>
      <vt:lpstr>'GMIC_2020-Annu_SCDPT6SN1'!SCDPT6SN1_12BEGIN_8</vt:lpstr>
      <vt:lpstr>'GMIC_2020-Annu_SCDPT6SN1'!SCDPT6SN1_12BEGIN_9</vt:lpstr>
      <vt:lpstr>'GMIC_2020-Annu_SCDPT6SN1'!SCDPT6SN1_12ENDIN_10</vt:lpstr>
      <vt:lpstr>'GMIC_2020-Annu_SCDPT6SN1'!SCDPT6SN1_12ENDIN_11</vt:lpstr>
      <vt:lpstr>'GMIC_2020-Annu_SCDPT6SN1'!SCDPT6SN1_12ENDIN_12</vt:lpstr>
      <vt:lpstr>'GMIC_2020-Annu_SCDPT6SN1'!SCDPT6SN1_12ENDIN_13</vt:lpstr>
      <vt:lpstr>'GMIC_2020-Annu_SCDPT6SN1'!SCDPT6SN1_12ENDIN_14</vt:lpstr>
      <vt:lpstr>'GMIC_2020-Annu_SCDPT6SN1'!SCDPT6SN1_12ENDIN_15</vt:lpstr>
      <vt:lpstr>'GMIC_2020-Annu_SCDPT6SN1'!SCDPT6SN1_12ENDIN_16</vt:lpstr>
      <vt:lpstr>'GMIC_2020-Annu_SCDPT6SN1'!SCDPT6SN1_12ENDIN_2</vt:lpstr>
      <vt:lpstr>'GMIC_2020-Annu_SCDPT6SN1'!SCDPT6SN1_12ENDIN_3</vt:lpstr>
      <vt:lpstr>'GMIC_2020-Annu_SCDPT6SN1'!SCDPT6SN1_12ENDIN_4</vt:lpstr>
      <vt:lpstr>'GMIC_2020-Annu_SCDPT6SN1'!SCDPT6SN1_12ENDIN_5</vt:lpstr>
      <vt:lpstr>'GMIC_2020-Annu_SCDPT6SN1'!SCDPT6SN1_12ENDIN_6</vt:lpstr>
      <vt:lpstr>'GMIC_2020-Annu_SCDPT6SN1'!SCDPT6SN1_12ENDIN_7</vt:lpstr>
      <vt:lpstr>'GMIC_2020-Annu_SCDPT6SN1'!SCDPT6SN1_12ENDIN_8</vt:lpstr>
      <vt:lpstr>'GMIC_2020-Annu_SCDPT6SN1'!SCDPT6SN1_12ENDIN_9</vt:lpstr>
      <vt:lpstr>'GMIC_2020-Annu_SCDPT6SN1'!SCDPT6SN1_1300000_Range</vt:lpstr>
      <vt:lpstr>'GMIC_2020-Annu_SCDPT6SN1'!SCDPT6SN1_1399999_10</vt:lpstr>
      <vt:lpstr>'GMIC_2020-Annu_SCDPT6SN1'!SCDPT6SN1_1399999_8</vt:lpstr>
      <vt:lpstr>'GMIC_2020-Annu_SCDPT6SN1'!SCDPT6SN1_1399999_9</vt:lpstr>
      <vt:lpstr>'GMIC_2020-Annu_SCDPT6SN1'!SCDPT6SN1_13BEGIN_1</vt:lpstr>
      <vt:lpstr>'GMIC_2020-Annu_SCDPT6SN1'!SCDPT6SN1_13BEGIN_10</vt:lpstr>
      <vt:lpstr>'GMIC_2020-Annu_SCDPT6SN1'!SCDPT6SN1_13BEGIN_11</vt:lpstr>
      <vt:lpstr>'GMIC_2020-Annu_SCDPT6SN1'!SCDPT6SN1_13BEGIN_12</vt:lpstr>
      <vt:lpstr>'GMIC_2020-Annu_SCDPT6SN1'!SCDPT6SN1_13BEGIN_13</vt:lpstr>
      <vt:lpstr>'GMIC_2020-Annu_SCDPT6SN1'!SCDPT6SN1_13BEGIN_14</vt:lpstr>
      <vt:lpstr>'GMIC_2020-Annu_SCDPT6SN1'!SCDPT6SN1_13BEGIN_15</vt:lpstr>
      <vt:lpstr>'GMIC_2020-Annu_SCDPT6SN1'!SCDPT6SN1_13BEGIN_16</vt:lpstr>
      <vt:lpstr>'GMIC_2020-Annu_SCDPT6SN1'!SCDPT6SN1_13BEGIN_2</vt:lpstr>
      <vt:lpstr>'GMIC_2020-Annu_SCDPT6SN1'!SCDPT6SN1_13BEGIN_3</vt:lpstr>
      <vt:lpstr>'GMIC_2020-Annu_SCDPT6SN1'!SCDPT6SN1_13BEGIN_4</vt:lpstr>
      <vt:lpstr>'GMIC_2020-Annu_SCDPT6SN1'!SCDPT6SN1_13BEGIN_5</vt:lpstr>
      <vt:lpstr>'GMIC_2020-Annu_SCDPT6SN1'!SCDPT6SN1_13BEGIN_6</vt:lpstr>
      <vt:lpstr>'GMIC_2020-Annu_SCDPT6SN1'!SCDPT6SN1_13BEGIN_7</vt:lpstr>
      <vt:lpstr>'GMIC_2020-Annu_SCDPT6SN1'!SCDPT6SN1_13BEGIN_8</vt:lpstr>
      <vt:lpstr>'GMIC_2020-Annu_SCDPT6SN1'!SCDPT6SN1_13BEGIN_9</vt:lpstr>
      <vt:lpstr>'GMIC_2020-Annu_SCDPT6SN1'!SCDPT6SN1_13ENDIN_10</vt:lpstr>
      <vt:lpstr>'GMIC_2020-Annu_SCDPT6SN1'!SCDPT6SN1_13ENDIN_11</vt:lpstr>
      <vt:lpstr>'GMIC_2020-Annu_SCDPT6SN1'!SCDPT6SN1_13ENDIN_12</vt:lpstr>
      <vt:lpstr>'GMIC_2020-Annu_SCDPT6SN1'!SCDPT6SN1_13ENDIN_13</vt:lpstr>
      <vt:lpstr>'GMIC_2020-Annu_SCDPT6SN1'!SCDPT6SN1_13ENDIN_14</vt:lpstr>
      <vt:lpstr>'GMIC_2020-Annu_SCDPT6SN1'!SCDPT6SN1_13ENDIN_15</vt:lpstr>
      <vt:lpstr>'GMIC_2020-Annu_SCDPT6SN1'!SCDPT6SN1_13ENDIN_16</vt:lpstr>
      <vt:lpstr>'GMIC_2020-Annu_SCDPT6SN1'!SCDPT6SN1_13ENDIN_2</vt:lpstr>
      <vt:lpstr>'GMIC_2020-Annu_SCDPT6SN1'!SCDPT6SN1_13ENDIN_3</vt:lpstr>
      <vt:lpstr>'GMIC_2020-Annu_SCDPT6SN1'!SCDPT6SN1_13ENDIN_4</vt:lpstr>
      <vt:lpstr>'GMIC_2020-Annu_SCDPT6SN1'!SCDPT6SN1_13ENDIN_5</vt:lpstr>
      <vt:lpstr>'GMIC_2020-Annu_SCDPT6SN1'!SCDPT6SN1_13ENDIN_6</vt:lpstr>
      <vt:lpstr>'GMIC_2020-Annu_SCDPT6SN1'!SCDPT6SN1_13ENDIN_7</vt:lpstr>
      <vt:lpstr>'GMIC_2020-Annu_SCDPT6SN1'!SCDPT6SN1_13ENDIN_8</vt:lpstr>
      <vt:lpstr>'GMIC_2020-Annu_SCDPT6SN1'!SCDPT6SN1_13ENDIN_9</vt:lpstr>
      <vt:lpstr>'GMIC_2020-Annu_SCDPT6SN1'!SCDPT6SN1_1400000_Range</vt:lpstr>
      <vt:lpstr>'GMIC_2020-Annu_SCDPT6SN1'!SCDPT6SN1_1499999_10</vt:lpstr>
      <vt:lpstr>'GMIC_2020-Annu_SCDPT6SN1'!SCDPT6SN1_1499999_8</vt:lpstr>
      <vt:lpstr>'GMIC_2020-Annu_SCDPT6SN1'!SCDPT6SN1_1499999_9</vt:lpstr>
      <vt:lpstr>'GMIC_2020-Annu_SCDPT6SN1'!SCDPT6SN1_14BEGIN_1</vt:lpstr>
      <vt:lpstr>'GMIC_2020-Annu_SCDPT6SN1'!SCDPT6SN1_14BEGIN_10</vt:lpstr>
      <vt:lpstr>'GMIC_2020-Annu_SCDPT6SN1'!SCDPT6SN1_14BEGIN_11</vt:lpstr>
      <vt:lpstr>'GMIC_2020-Annu_SCDPT6SN1'!SCDPT6SN1_14BEGIN_12</vt:lpstr>
      <vt:lpstr>'GMIC_2020-Annu_SCDPT6SN1'!SCDPT6SN1_14BEGIN_13</vt:lpstr>
      <vt:lpstr>'GMIC_2020-Annu_SCDPT6SN1'!SCDPT6SN1_14BEGIN_14</vt:lpstr>
      <vt:lpstr>'GMIC_2020-Annu_SCDPT6SN1'!SCDPT6SN1_14BEGIN_15</vt:lpstr>
      <vt:lpstr>'GMIC_2020-Annu_SCDPT6SN1'!SCDPT6SN1_14BEGIN_16</vt:lpstr>
      <vt:lpstr>'GMIC_2020-Annu_SCDPT6SN1'!SCDPT6SN1_14BEGIN_2</vt:lpstr>
      <vt:lpstr>'GMIC_2020-Annu_SCDPT6SN1'!SCDPT6SN1_14BEGIN_3</vt:lpstr>
      <vt:lpstr>'GMIC_2020-Annu_SCDPT6SN1'!SCDPT6SN1_14BEGIN_4</vt:lpstr>
      <vt:lpstr>'GMIC_2020-Annu_SCDPT6SN1'!SCDPT6SN1_14BEGIN_5</vt:lpstr>
      <vt:lpstr>'GMIC_2020-Annu_SCDPT6SN1'!SCDPT6SN1_14BEGIN_6</vt:lpstr>
      <vt:lpstr>'GMIC_2020-Annu_SCDPT6SN1'!SCDPT6SN1_14BEGIN_7</vt:lpstr>
      <vt:lpstr>'GMIC_2020-Annu_SCDPT6SN1'!SCDPT6SN1_14BEGIN_8</vt:lpstr>
      <vt:lpstr>'GMIC_2020-Annu_SCDPT6SN1'!SCDPT6SN1_14BEGIN_9</vt:lpstr>
      <vt:lpstr>'GMIC_2020-Annu_SCDPT6SN1'!SCDPT6SN1_14ENDIN_10</vt:lpstr>
      <vt:lpstr>'GMIC_2020-Annu_SCDPT6SN1'!SCDPT6SN1_14ENDIN_11</vt:lpstr>
      <vt:lpstr>'GMIC_2020-Annu_SCDPT6SN1'!SCDPT6SN1_14ENDIN_12</vt:lpstr>
      <vt:lpstr>'GMIC_2020-Annu_SCDPT6SN1'!SCDPT6SN1_14ENDIN_13</vt:lpstr>
      <vt:lpstr>'GMIC_2020-Annu_SCDPT6SN1'!SCDPT6SN1_14ENDIN_14</vt:lpstr>
      <vt:lpstr>'GMIC_2020-Annu_SCDPT6SN1'!SCDPT6SN1_14ENDIN_15</vt:lpstr>
      <vt:lpstr>'GMIC_2020-Annu_SCDPT6SN1'!SCDPT6SN1_14ENDIN_16</vt:lpstr>
      <vt:lpstr>'GMIC_2020-Annu_SCDPT6SN1'!SCDPT6SN1_14ENDIN_2</vt:lpstr>
      <vt:lpstr>'GMIC_2020-Annu_SCDPT6SN1'!SCDPT6SN1_14ENDIN_3</vt:lpstr>
      <vt:lpstr>'GMIC_2020-Annu_SCDPT6SN1'!SCDPT6SN1_14ENDIN_4</vt:lpstr>
      <vt:lpstr>'GMIC_2020-Annu_SCDPT6SN1'!SCDPT6SN1_14ENDIN_5</vt:lpstr>
      <vt:lpstr>'GMIC_2020-Annu_SCDPT6SN1'!SCDPT6SN1_14ENDIN_6</vt:lpstr>
      <vt:lpstr>'GMIC_2020-Annu_SCDPT6SN1'!SCDPT6SN1_14ENDIN_7</vt:lpstr>
      <vt:lpstr>'GMIC_2020-Annu_SCDPT6SN1'!SCDPT6SN1_14ENDIN_8</vt:lpstr>
      <vt:lpstr>'GMIC_2020-Annu_SCDPT6SN1'!SCDPT6SN1_14ENDIN_9</vt:lpstr>
      <vt:lpstr>'GMIC_2020-Annu_SCDPT6SN1'!SCDPT6SN1_1500000_Range</vt:lpstr>
      <vt:lpstr>'GMIC_2020-Annu_SCDPT6SN1'!SCDPT6SN1_1599999_10</vt:lpstr>
      <vt:lpstr>'GMIC_2020-Annu_SCDPT6SN1'!SCDPT6SN1_1599999_8</vt:lpstr>
      <vt:lpstr>'GMIC_2020-Annu_SCDPT6SN1'!SCDPT6SN1_1599999_9</vt:lpstr>
      <vt:lpstr>'GMIC_2020-Annu_SCDPT6SN1'!SCDPT6SN1_15BEGIN_1</vt:lpstr>
      <vt:lpstr>'GMIC_2020-Annu_SCDPT6SN1'!SCDPT6SN1_15BEGIN_10</vt:lpstr>
      <vt:lpstr>'GMIC_2020-Annu_SCDPT6SN1'!SCDPT6SN1_15BEGIN_11</vt:lpstr>
      <vt:lpstr>'GMIC_2020-Annu_SCDPT6SN1'!SCDPT6SN1_15BEGIN_12</vt:lpstr>
      <vt:lpstr>'GMIC_2020-Annu_SCDPT6SN1'!SCDPT6SN1_15BEGIN_13</vt:lpstr>
      <vt:lpstr>'GMIC_2020-Annu_SCDPT6SN1'!SCDPT6SN1_15BEGIN_14</vt:lpstr>
      <vt:lpstr>'GMIC_2020-Annu_SCDPT6SN1'!SCDPT6SN1_15BEGIN_15</vt:lpstr>
      <vt:lpstr>'GMIC_2020-Annu_SCDPT6SN1'!SCDPT6SN1_15BEGIN_16</vt:lpstr>
      <vt:lpstr>'GMIC_2020-Annu_SCDPT6SN1'!SCDPT6SN1_15BEGIN_2</vt:lpstr>
      <vt:lpstr>'GMIC_2020-Annu_SCDPT6SN1'!SCDPT6SN1_15BEGIN_3</vt:lpstr>
      <vt:lpstr>'GMIC_2020-Annu_SCDPT6SN1'!SCDPT6SN1_15BEGIN_4</vt:lpstr>
      <vt:lpstr>'GMIC_2020-Annu_SCDPT6SN1'!SCDPT6SN1_15BEGIN_5</vt:lpstr>
      <vt:lpstr>'GMIC_2020-Annu_SCDPT6SN1'!SCDPT6SN1_15BEGIN_6</vt:lpstr>
      <vt:lpstr>'GMIC_2020-Annu_SCDPT6SN1'!SCDPT6SN1_15BEGIN_7</vt:lpstr>
      <vt:lpstr>'GMIC_2020-Annu_SCDPT6SN1'!SCDPT6SN1_15BEGIN_8</vt:lpstr>
      <vt:lpstr>'GMIC_2020-Annu_SCDPT6SN1'!SCDPT6SN1_15BEGIN_9</vt:lpstr>
      <vt:lpstr>'GMIC_2020-Annu_SCDPT6SN1'!SCDPT6SN1_15ENDIN_10</vt:lpstr>
      <vt:lpstr>'GMIC_2020-Annu_SCDPT6SN1'!SCDPT6SN1_15ENDIN_11</vt:lpstr>
      <vt:lpstr>'GMIC_2020-Annu_SCDPT6SN1'!SCDPT6SN1_15ENDIN_12</vt:lpstr>
      <vt:lpstr>'GMIC_2020-Annu_SCDPT6SN1'!SCDPT6SN1_15ENDIN_13</vt:lpstr>
      <vt:lpstr>'GMIC_2020-Annu_SCDPT6SN1'!SCDPT6SN1_15ENDIN_14</vt:lpstr>
      <vt:lpstr>'GMIC_2020-Annu_SCDPT6SN1'!SCDPT6SN1_15ENDIN_15</vt:lpstr>
      <vt:lpstr>'GMIC_2020-Annu_SCDPT6SN1'!SCDPT6SN1_15ENDIN_16</vt:lpstr>
      <vt:lpstr>'GMIC_2020-Annu_SCDPT6SN1'!SCDPT6SN1_15ENDIN_2</vt:lpstr>
      <vt:lpstr>'GMIC_2020-Annu_SCDPT6SN1'!SCDPT6SN1_15ENDIN_3</vt:lpstr>
      <vt:lpstr>'GMIC_2020-Annu_SCDPT6SN1'!SCDPT6SN1_15ENDIN_4</vt:lpstr>
      <vt:lpstr>'GMIC_2020-Annu_SCDPT6SN1'!SCDPT6SN1_15ENDIN_5</vt:lpstr>
      <vt:lpstr>'GMIC_2020-Annu_SCDPT6SN1'!SCDPT6SN1_15ENDIN_6</vt:lpstr>
      <vt:lpstr>'GMIC_2020-Annu_SCDPT6SN1'!SCDPT6SN1_15ENDIN_7</vt:lpstr>
      <vt:lpstr>'GMIC_2020-Annu_SCDPT6SN1'!SCDPT6SN1_15ENDIN_8</vt:lpstr>
      <vt:lpstr>'GMIC_2020-Annu_SCDPT6SN1'!SCDPT6SN1_15ENDIN_9</vt:lpstr>
      <vt:lpstr>'GMIC_2020-Annu_SCDPT6SN1'!SCDPT6SN1_1600000_Range</vt:lpstr>
      <vt:lpstr>'GMIC_2020-Annu_SCDPT6SN1'!SCDPT6SN1_1699999_10</vt:lpstr>
      <vt:lpstr>'GMIC_2020-Annu_SCDPT6SN1'!SCDPT6SN1_1699999_8</vt:lpstr>
      <vt:lpstr>'GMIC_2020-Annu_SCDPT6SN1'!SCDPT6SN1_1699999_9</vt:lpstr>
      <vt:lpstr>'GMIC_2020-Annu_SCDPT6SN1'!SCDPT6SN1_16BEGIN_1</vt:lpstr>
      <vt:lpstr>'GMIC_2020-Annu_SCDPT6SN1'!SCDPT6SN1_16BEGIN_10</vt:lpstr>
      <vt:lpstr>'GMIC_2020-Annu_SCDPT6SN1'!SCDPT6SN1_16BEGIN_11</vt:lpstr>
      <vt:lpstr>'GMIC_2020-Annu_SCDPT6SN1'!SCDPT6SN1_16BEGIN_12</vt:lpstr>
      <vt:lpstr>'GMIC_2020-Annu_SCDPT6SN1'!SCDPT6SN1_16BEGIN_13</vt:lpstr>
      <vt:lpstr>'GMIC_2020-Annu_SCDPT6SN1'!SCDPT6SN1_16BEGIN_14</vt:lpstr>
      <vt:lpstr>'GMIC_2020-Annu_SCDPT6SN1'!SCDPT6SN1_16BEGIN_15</vt:lpstr>
      <vt:lpstr>'GMIC_2020-Annu_SCDPT6SN1'!SCDPT6SN1_16BEGIN_16</vt:lpstr>
      <vt:lpstr>'GMIC_2020-Annu_SCDPT6SN1'!SCDPT6SN1_16BEGIN_2</vt:lpstr>
      <vt:lpstr>'GMIC_2020-Annu_SCDPT6SN1'!SCDPT6SN1_16BEGIN_3</vt:lpstr>
      <vt:lpstr>'GMIC_2020-Annu_SCDPT6SN1'!SCDPT6SN1_16BEGIN_4</vt:lpstr>
      <vt:lpstr>'GMIC_2020-Annu_SCDPT6SN1'!SCDPT6SN1_16BEGIN_5</vt:lpstr>
      <vt:lpstr>'GMIC_2020-Annu_SCDPT6SN1'!SCDPT6SN1_16BEGIN_6</vt:lpstr>
      <vt:lpstr>'GMIC_2020-Annu_SCDPT6SN1'!SCDPT6SN1_16BEGIN_7</vt:lpstr>
      <vt:lpstr>'GMIC_2020-Annu_SCDPT6SN1'!SCDPT6SN1_16BEGIN_8</vt:lpstr>
      <vt:lpstr>'GMIC_2020-Annu_SCDPT6SN1'!SCDPT6SN1_16BEGIN_9</vt:lpstr>
      <vt:lpstr>'GMIC_2020-Annu_SCDPT6SN1'!SCDPT6SN1_16ENDIN_10</vt:lpstr>
      <vt:lpstr>'GMIC_2020-Annu_SCDPT6SN1'!SCDPT6SN1_16ENDIN_11</vt:lpstr>
      <vt:lpstr>'GMIC_2020-Annu_SCDPT6SN1'!SCDPT6SN1_16ENDIN_12</vt:lpstr>
      <vt:lpstr>'GMIC_2020-Annu_SCDPT6SN1'!SCDPT6SN1_16ENDIN_13</vt:lpstr>
      <vt:lpstr>'GMIC_2020-Annu_SCDPT6SN1'!SCDPT6SN1_16ENDIN_14</vt:lpstr>
      <vt:lpstr>'GMIC_2020-Annu_SCDPT6SN1'!SCDPT6SN1_16ENDIN_15</vt:lpstr>
      <vt:lpstr>'GMIC_2020-Annu_SCDPT6SN1'!SCDPT6SN1_16ENDIN_16</vt:lpstr>
      <vt:lpstr>'GMIC_2020-Annu_SCDPT6SN1'!SCDPT6SN1_16ENDIN_2</vt:lpstr>
      <vt:lpstr>'GMIC_2020-Annu_SCDPT6SN1'!SCDPT6SN1_16ENDIN_3</vt:lpstr>
      <vt:lpstr>'GMIC_2020-Annu_SCDPT6SN1'!SCDPT6SN1_16ENDIN_4</vt:lpstr>
      <vt:lpstr>'GMIC_2020-Annu_SCDPT6SN1'!SCDPT6SN1_16ENDIN_5</vt:lpstr>
      <vt:lpstr>'GMIC_2020-Annu_SCDPT6SN1'!SCDPT6SN1_16ENDIN_6</vt:lpstr>
      <vt:lpstr>'GMIC_2020-Annu_SCDPT6SN1'!SCDPT6SN1_16ENDIN_7</vt:lpstr>
      <vt:lpstr>'GMIC_2020-Annu_SCDPT6SN1'!SCDPT6SN1_16ENDIN_8</vt:lpstr>
      <vt:lpstr>'GMIC_2020-Annu_SCDPT6SN1'!SCDPT6SN1_16ENDIN_9</vt:lpstr>
      <vt:lpstr>'GMIC_2020-Annu_SCDPT6SN1'!SCDPT6SN1_1700000_Range</vt:lpstr>
      <vt:lpstr>'GMIC_2020-Annu_SCDPT6SN1'!SCDPT6SN1_1700001_1</vt:lpstr>
      <vt:lpstr>'GMIC_2020-Annu_SCDPT6SN1'!SCDPT6SN1_1700001_10</vt:lpstr>
      <vt:lpstr>'GMIC_2020-Annu_SCDPT6SN1'!SCDPT6SN1_1700001_11</vt:lpstr>
      <vt:lpstr>'GMIC_2020-Annu_SCDPT6SN1'!SCDPT6SN1_1700001_12</vt:lpstr>
      <vt:lpstr>'GMIC_2020-Annu_SCDPT6SN1'!SCDPT6SN1_1700001_13</vt:lpstr>
      <vt:lpstr>'GMIC_2020-Annu_SCDPT6SN1'!SCDPT6SN1_1700001_14</vt:lpstr>
      <vt:lpstr>'GMIC_2020-Annu_SCDPT6SN1'!SCDPT6SN1_1700001_15</vt:lpstr>
      <vt:lpstr>'GMIC_2020-Annu_SCDPT6SN1'!SCDPT6SN1_1700001_16</vt:lpstr>
      <vt:lpstr>'GMIC_2020-Annu_SCDPT6SN1'!SCDPT6SN1_1700001_2</vt:lpstr>
      <vt:lpstr>'GMIC_2020-Annu_SCDPT6SN1'!SCDPT6SN1_1700001_3</vt:lpstr>
      <vt:lpstr>'GMIC_2020-Annu_SCDPT6SN1'!SCDPT6SN1_1700001_4</vt:lpstr>
      <vt:lpstr>'GMIC_2020-Annu_SCDPT6SN1'!SCDPT6SN1_1700001_5</vt:lpstr>
      <vt:lpstr>'GMIC_2020-Annu_SCDPT6SN1'!SCDPT6SN1_1700001_6</vt:lpstr>
      <vt:lpstr>'GMIC_2020-Annu_SCDPT6SN1'!SCDPT6SN1_1700001_7</vt:lpstr>
      <vt:lpstr>'GMIC_2020-Annu_SCDPT6SN1'!SCDPT6SN1_1700001_8</vt:lpstr>
      <vt:lpstr>'GMIC_2020-Annu_SCDPT6SN1'!SCDPT6SN1_1700001_9</vt:lpstr>
      <vt:lpstr>'GMIC_2020-Annu_SCDPT6SN1'!SCDPT6SN1_1799999_10</vt:lpstr>
      <vt:lpstr>'GMIC_2020-Annu_SCDPT6SN1'!SCDPT6SN1_1799999_8</vt:lpstr>
      <vt:lpstr>'GMIC_2020-Annu_SCDPT6SN1'!SCDPT6SN1_1799999_9</vt:lpstr>
      <vt:lpstr>'GMIC_2020-Annu_SCDPT6SN1'!SCDPT6SN1_17BEGIN_1</vt:lpstr>
      <vt:lpstr>'GMIC_2020-Annu_SCDPT6SN1'!SCDPT6SN1_17BEGIN_10</vt:lpstr>
      <vt:lpstr>'GMIC_2020-Annu_SCDPT6SN1'!SCDPT6SN1_17BEGIN_11</vt:lpstr>
      <vt:lpstr>'GMIC_2020-Annu_SCDPT6SN1'!SCDPT6SN1_17BEGIN_12</vt:lpstr>
      <vt:lpstr>'GMIC_2020-Annu_SCDPT6SN1'!SCDPT6SN1_17BEGIN_13</vt:lpstr>
      <vt:lpstr>'GMIC_2020-Annu_SCDPT6SN1'!SCDPT6SN1_17BEGIN_14</vt:lpstr>
      <vt:lpstr>'GMIC_2020-Annu_SCDPT6SN1'!SCDPT6SN1_17BEGIN_15</vt:lpstr>
      <vt:lpstr>'GMIC_2020-Annu_SCDPT6SN1'!SCDPT6SN1_17BEGIN_16</vt:lpstr>
      <vt:lpstr>'GMIC_2020-Annu_SCDPT6SN1'!SCDPT6SN1_17BEGIN_2</vt:lpstr>
      <vt:lpstr>'GMIC_2020-Annu_SCDPT6SN1'!SCDPT6SN1_17BEGIN_3</vt:lpstr>
      <vt:lpstr>'GMIC_2020-Annu_SCDPT6SN1'!SCDPT6SN1_17BEGIN_4</vt:lpstr>
      <vt:lpstr>'GMIC_2020-Annu_SCDPT6SN1'!SCDPT6SN1_17BEGIN_5</vt:lpstr>
      <vt:lpstr>'GMIC_2020-Annu_SCDPT6SN1'!SCDPT6SN1_17BEGIN_6</vt:lpstr>
      <vt:lpstr>'GMIC_2020-Annu_SCDPT6SN1'!SCDPT6SN1_17BEGIN_7</vt:lpstr>
      <vt:lpstr>'GMIC_2020-Annu_SCDPT6SN1'!SCDPT6SN1_17BEGIN_8</vt:lpstr>
      <vt:lpstr>'GMIC_2020-Annu_SCDPT6SN1'!SCDPT6SN1_17BEGIN_9</vt:lpstr>
      <vt:lpstr>'GMIC_2020-Annu_SCDPT6SN1'!SCDPT6SN1_17ENDIN_10</vt:lpstr>
      <vt:lpstr>'GMIC_2020-Annu_SCDPT6SN1'!SCDPT6SN1_17ENDIN_11</vt:lpstr>
      <vt:lpstr>'GMIC_2020-Annu_SCDPT6SN1'!SCDPT6SN1_17ENDIN_12</vt:lpstr>
      <vt:lpstr>'GMIC_2020-Annu_SCDPT6SN1'!SCDPT6SN1_17ENDIN_13</vt:lpstr>
      <vt:lpstr>'GMIC_2020-Annu_SCDPT6SN1'!SCDPT6SN1_17ENDIN_14</vt:lpstr>
      <vt:lpstr>'GMIC_2020-Annu_SCDPT6SN1'!SCDPT6SN1_17ENDIN_15</vt:lpstr>
      <vt:lpstr>'GMIC_2020-Annu_SCDPT6SN1'!SCDPT6SN1_17ENDIN_16</vt:lpstr>
      <vt:lpstr>'GMIC_2020-Annu_SCDPT6SN1'!SCDPT6SN1_17ENDIN_2</vt:lpstr>
      <vt:lpstr>'GMIC_2020-Annu_SCDPT6SN1'!SCDPT6SN1_17ENDIN_3</vt:lpstr>
      <vt:lpstr>'GMIC_2020-Annu_SCDPT6SN1'!SCDPT6SN1_17ENDIN_4</vt:lpstr>
      <vt:lpstr>'GMIC_2020-Annu_SCDPT6SN1'!SCDPT6SN1_17ENDIN_5</vt:lpstr>
      <vt:lpstr>'GMIC_2020-Annu_SCDPT6SN1'!SCDPT6SN1_17ENDIN_6</vt:lpstr>
      <vt:lpstr>'GMIC_2020-Annu_SCDPT6SN1'!SCDPT6SN1_17ENDIN_7</vt:lpstr>
      <vt:lpstr>'GMIC_2020-Annu_SCDPT6SN1'!SCDPT6SN1_17ENDIN_8</vt:lpstr>
      <vt:lpstr>'GMIC_2020-Annu_SCDPT6SN1'!SCDPT6SN1_17ENDIN_9</vt:lpstr>
      <vt:lpstr>'GMIC_2020-Annu_SCDPT6SN1'!SCDPT6SN1_1899999_10</vt:lpstr>
      <vt:lpstr>'GMIC_2020-Annu_SCDPT6SN1'!SCDPT6SN1_1899999_8</vt:lpstr>
      <vt:lpstr>'GMIC_2020-Annu_SCDPT6SN1'!SCDPT6SN1_1899999_9</vt:lpstr>
      <vt:lpstr>'GMIC_2020-Annu_SCDPT6SN1'!SCDPT6SN1_1999999_10</vt:lpstr>
      <vt:lpstr>'GMIC_2020-Annu_SCDPT6SN1'!SCDPT6SN1_1999999_8</vt:lpstr>
      <vt:lpstr>'GMIC_2020-Annu_SCDPT6SN1'!SCDPT6SN1_1999999_9</vt:lpstr>
      <vt:lpstr>'GMIC_2020-Annu_SCDPT1'!Wings_Company_ID</vt:lpstr>
      <vt:lpstr>'GMIC_2020-Annu_SCDPT2SN2'!Wings_Company_ID</vt:lpstr>
      <vt:lpstr>'GMIC_2020-Annu_SCDPT3'!Wings_Company_ID</vt:lpstr>
      <vt:lpstr>'GMIC_2020-Annu_SCDPT4'!Wings_Company_ID</vt:lpstr>
      <vt:lpstr>'GMIC_2020-Annu_SCDPT5'!Wings_Company_ID</vt:lpstr>
      <vt:lpstr>'GMIC_2020-Annu_SCDPT6SN1'!Wings_Company_ID</vt:lpstr>
      <vt:lpstr>'GMIC_2020-Annu_SCDPT1'!WINGS_Identifier_ID</vt:lpstr>
      <vt:lpstr>'GMIC_2020-Annu_SCDPT2SN2'!WINGS_Identifier_ID</vt:lpstr>
      <vt:lpstr>'GMIC_2020-Annu_SCDPT3'!WINGS_Identifier_ID</vt:lpstr>
      <vt:lpstr>'GMIC_2020-Annu_SCDPT4'!WINGS_Identifier_ID</vt:lpstr>
      <vt:lpstr>'GMIC_2020-Annu_SCDPT5'!WINGS_Identifier_ID</vt:lpstr>
      <vt:lpstr>'GMIC_2020-Annu_SCDPT6SN1'!WINGS_Identifier_ID</vt:lpstr>
      <vt:lpstr>'GMIC_2020-Annu_SCDPT1'!Wings_IdentTable_ID</vt:lpstr>
      <vt:lpstr>'GMIC_2020-Annu_SCDPT2SN2'!Wings_IdentTable_ID</vt:lpstr>
      <vt:lpstr>'GMIC_2020-Annu_SCDPT3'!Wings_IdentTable_ID</vt:lpstr>
      <vt:lpstr>'GMIC_2020-Annu_SCDPT4'!Wings_IdentTable_ID</vt:lpstr>
      <vt:lpstr>'GMIC_2020-Annu_SCDPT5'!Wings_IdentTable_ID</vt:lpstr>
      <vt:lpstr>'GMIC_2020-Annu_SCDPT6SN1'!Wings_IdentTable_ID</vt:lpstr>
      <vt:lpstr>'GMIC_2020-Annu_SCDPT1'!Wings_Statement_ID</vt:lpstr>
      <vt:lpstr>'GMIC_2020-Annu_SCDPT2SN2'!Wings_Statement_ID</vt:lpstr>
      <vt:lpstr>'GMIC_2020-Annu_SCDPT3'!Wings_Statement_ID</vt:lpstr>
      <vt:lpstr>'GMIC_2020-Annu_SCDPT4'!Wings_Statement_ID</vt:lpstr>
      <vt:lpstr>'GMIC_2020-Annu_SCDPT5'!Wings_Statement_ID</vt:lpstr>
      <vt:lpstr>'GMIC_2020-Annu_SCDPT6SN1'!Wings_Statement_ID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Reese, Sandy H. (Genworth)</dc:creator>
  <cp:lastModifiedBy>Reese, Sandy H. (Genworth)</cp:lastModifiedBy>
  <dcterms:created xsi:type="dcterms:W3CDTF">2021-02-25T15:22:52Z</dcterms:created>
  <dcterms:modified xsi:type="dcterms:W3CDTF">2021-02-25T15:22:53Z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99a40818-f07f-4343-9397-e49925001a14</vt:lpwstr>
  </property>
  <property fmtid="{D5CDD505-2E9C-101B-9397-08002B2CF9AE}" pid="3" name="bjSaver">
    <vt:lpwstr>p+F5qZTxipT9oi8HrAKd3KEZgUpLIurN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ClsUserRVM">
    <vt:lpwstr>[]</vt:lpwstr>
  </property>
  <property fmtid="{D5CDD505-2E9C-101B-9397-08002B2CF9AE}" pid="8" name="bjLabelHistoryID">
    <vt:lpwstr>{A8648105-4711-41E3-886B-2C63D9AA9F8B}</vt:lpwstr>
  </property>
</Properties>
</file>